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92" windowHeight="8196" tabRatio="500" activeTab="5"/>
  </bookViews>
  <sheets>
    <sheet name="Inverno 1" sheetId="1" r:id="rId1"/>
    <sheet name="Inverno 2" sheetId="2" r:id="rId2"/>
    <sheet name="Inverno 3" sheetId="3" r:id="rId3"/>
    <sheet name="Inverno dic22" sheetId="4" r:id="rId4"/>
    <sheet name="Inverno Verifica" sheetId="5" r:id="rId5"/>
    <sheet name="Estivo primaria" sheetId="6" r:id="rId6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3" i="6"/>
  <c r="B43"/>
  <c r="K47" s="1"/>
  <c r="K67"/>
  <c r="K44"/>
  <c r="K40"/>
  <c r="K34"/>
  <c r="K35" s="1"/>
  <c r="K33"/>
  <c r="K26"/>
  <c r="K27" s="1"/>
  <c r="K30" s="1"/>
  <c r="N69" s="1"/>
  <c r="K19"/>
  <c r="K18"/>
  <c r="K13"/>
  <c r="K14" s="1"/>
  <c r="K15" s="1"/>
  <c r="K6"/>
  <c r="B30"/>
  <c r="E69" s="1"/>
  <c r="B27"/>
  <c r="B26"/>
  <c r="B28" s="1"/>
  <c r="B19"/>
  <c r="B34" s="1"/>
  <c r="B40" s="1"/>
  <c r="B41" s="1"/>
  <c r="B18"/>
  <c r="B33" s="1"/>
  <c r="B67" s="1"/>
  <c r="B13"/>
  <c r="B14" s="1"/>
  <c r="B15" s="1"/>
  <c r="B6"/>
  <c r="B44" s="1"/>
  <c r="B63" i="5"/>
  <c r="B66" s="1"/>
  <c r="B45"/>
  <c r="D44"/>
  <c r="F44" s="1"/>
  <c r="H44" s="1"/>
  <c r="B39"/>
  <c r="B31"/>
  <c r="B20"/>
  <c r="B21" s="1"/>
  <c r="B13"/>
  <c r="B12"/>
  <c r="B26" s="1"/>
  <c r="E11"/>
  <c r="B11"/>
  <c r="B25" s="1"/>
  <c r="G10"/>
  <c r="E10"/>
  <c r="B8"/>
  <c r="B9" s="1"/>
  <c r="B7"/>
  <c r="E6"/>
  <c r="G5"/>
  <c r="B66" i="4"/>
  <c r="B63"/>
  <c r="B46"/>
  <c r="B45"/>
  <c r="H44"/>
  <c r="F44"/>
  <c r="D44"/>
  <c r="B31"/>
  <c r="B39" s="1"/>
  <c r="B26"/>
  <c r="B25"/>
  <c r="B27" s="1"/>
  <c r="B22"/>
  <c r="B21"/>
  <c r="B20"/>
  <c r="B13"/>
  <c r="B12" s="1"/>
  <c r="B11"/>
  <c r="E8"/>
  <c r="G8" s="1"/>
  <c r="B8"/>
  <c r="B9" s="1"/>
  <c r="B7"/>
  <c r="G5"/>
  <c r="B45" i="3"/>
  <c r="B44"/>
  <c r="H43"/>
  <c r="F43"/>
  <c r="D43"/>
  <c r="B31"/>
  <c r="B38" s="1"/>
  <c r="B28"/>
  <c r="B27"/>
  <c r="B26"/>
  <c r="B25"/>
  <c r="B33" s="1"/>
  <c r="B48" s="1"/>
  <c r="B22"/>
  <c r="B21"/>
  <c r="B20"/>
  <c r="B13"/>
  <c r="G8"/>
  <c r="E8"/>
  <c r="E9" s="1"/>
  <c r="E10" s="1"/>
  <c r="B7"/>
  <c r="B8" s="1"/>
  <c r="G5"/>
  <c r="B45" i="2"/>
  <c r="H44"/>
  <c r="B46" s="1"/>
  <c r="F44"/>
  <c r="D44"/>
  <c r="B39"/>
  <c r="B34"/>
  <c r="B49" s="1"/>
  <c r="B31"/>
  <c r="B25"/>
  <c r="B28" s="1"/>
  <c r="B22"/>
  <c r="B21"/>
  <c r="B20"/>
  <c r="B13"/>
  <c r="B26" s="1"/>
  <c r="B27" s="1"/>
  <c r="B35" s="1"/>
  <c r="B36" s="1"/>
  <c r="B37" s="1"/>
  <c r="E9"/>
  <c r="B9"/>
  <c r="G8"/>
  <c r="E8"/>
  <c r="B8"/>
  <c r="B71" s="1"/>
  <c r="B74" s="1"/>
  <c r="B7"/>
  <c r="G5"/>
  <c r="B63" i="1"/>
  <c r="B66" s="1"/>
  <c r="B45"/>
  <c r="B46" s="1"/>
  <c r="D44"/>
  <c r="F44" s="1"/>
  <c r="H44" s="1"/>
  <c r="B39"/>
  <c r="B31"/>
  <c r="B25"/>
  <c r="B27" s="1"/>
  <c r="B20"/>
  <c r="B21" s="1"/>
  <c r="B13"/>
  <c r="B26" s="1"/>
  <c r="B28" s="1"/>
  <c r="E9"/>
  <c r="B9"/>
  <c r="G8"/>
  <c r="E8"/>
  <c r="B8"/>
  <c r="B7"/>
  <c r="G5"/>
  <c r="K36" i="6" l="1"/>
  <c r="K41"/>
  <c r="B47"/>
  <c r="K28"/>
  <c r="B36"/>
  <c r="B42"/>
  <c r="B45" s="1"/>
  <c r="B22" i="5"/>
  <c r="B62" i="3"/>
  <c r="B9"/>
  <c r="B29" i="6"/>
  <c r="B35"/>
  <c r="B51" i="2"/>
  <c r="B50"/>
  <c r="B22" i="1"/>
  <c r="B55" i="2"/>
  <c r="B34" i="3"/>
  <c r="E11"/>
  <c r="B34" i="5"/>
  <c r="B27"/>
  <c r="B28"/>
  <c r="B50" i="3"/>
  <c r="B53" s="1"/>
  <c r="B56" s="1"/>
  <c r="B49"/>
  <c r="B38" i="2"/>
  <c r="B63"/>
  <c r="B40"/>
  <c r="B41" s="1"/>
  <c r="B35" i="3"/>
  <c r="B36" s="1"/>
  <c r="B73" s="1"/>
  <c r="D73" s="1"/>
  <c r="B46" i="5"/>
  <c r="E10" i="2"/>
  <c r="E11" s="1"/>
  <c r="B34" i="1"/>
  <c r="B35" s="1"/>
  <c r="B61" i="3"/>
  <c r="B64" s="1"/>
  <c r="E9" i="4"/>
  <c r="B34"/>
  <c r="B49" s="1"/>
  <c r="B28"/>
  <c r="K29" i="6" l="1"/>
  <c r="K42"/>
  <c r="K45" s="1"/>
  <c r="B50" i="4"/>
  <c r="B51" s="1"/>
  <c r="B65" i="3"/>
  <c r="B66" s="1"/>
  <c r="B63"/>
  <c r="B70" s="1"/>
  <c r="B36" i="5"/>
  <c r="B55" i="3"/>
  <c r="B57" s="1"/>
  <c r="B58" s="1"/>
  <c r="B54"/>
  <c r="B64" i="2"/>
  <c r="B46" i="6"/>
  <c r="B68" s="1"/>
  <c r="B72" s="1"/>
  <c r="B52"/>
  <c r="B48"/>
  <c r="B49" s="1"/>
  <c r="B35" i="4"/>
  <c r="B36" s="1"/>
  <c r="B56" i="2"/>
  <c r="B58" s="1"/>
  <c r="B54"/>
  <c r="B57" s="1"/>
  <c r="B37" i="3"/>
  <c r="B39"/>
  <c r="B40" s="1"/>
  <c r="B88" i="2"/>
  <c r="D88" s="1"/>
  <c r="B49" i="5"/>
  <c r="E12"/>
  <c r="E13" s="1"/>
  <c r="B49" i="1"/>
  <c r="E10"/>
  <c r="E11" s="1"/>
  <c r="E10" i="4"/>
  <c r="E11" s="1"/>
  <c r="B35" i="5"/>
  <c r="B36" i="1"/>
  <c r="K46" i="6" l="1"/>
  <c r="K68" s="1"/>
  <c r="K72" s="1"/>
  <c r="K48"/>
  <c r="K49" s="1"/>
  <c r="K52"/>
  <c r="B54" i="4"/>
  <c r="B57" s="1"/>
  <c r="B56"/>
  <c r="B58" s="1"/>
  <c r="B55"/>
  <c r="B50" i="1"/>
  <c r="B51" s="1"/>
  <c r="B62" i="5"/>
  <c r="B64" s="1"/>
  <c r="B65" s="1"/>
  <c r="B67" s="1"/>
  <c r="B37"/>
  <c r="B50"/>
  <c r="B51"/>
  <c r="B54" i="6"/>
  <c r="B63"/>
  <c r="D63" s="1"/>
  <c r="B65" i="2"/>
  <c r="B66"/>
  <c r="B67" s="1"/>
  <c r="B37" i="1"/>
  <c r="B62"/>
  <c r="B64" s="1"/>
  <c r="B65" s="1"/>
  <c r="B67" s="1"/>
  <c r="B37" i="4"/>
  <c r="B62"/>
  <c r="B59" i="2"/>
  <c r="K54" i="6" l="1"/>
  <c r="K63"/>
  <c r="M63" s="1"/>
  <c r="B54" i="1"/>
  <c r="B57" s="1"/>
  <c r="B56"/>
  <c r="B58" s="1"/>
  <c r="B55"/>
  <c r="B70" i="2"/>
  <c r="B82"/>
  <c r="B38" i="4"/>
  <c r="B40"/>
  <c r="B41" s="1"/>
  <c r="B74"/>
  <c r="D74" s="1"/>
  <c r="B40" i="1"/>
  <c r="B41" s="1"/>
  <c r="B38"/>
  <c r="B54" i="5"/>
  <c r="B57" s="1"/>
  <c r="B56"/>
  <c r="B58" s="1"/>
  <c r="B55"/>
  <c r="B71" i="1"/>
  <c r="B55" i="6"/>
  <c r="B56"/>
  <c r="B59" i="4"/>
  <c r="B74" i="1"/>
  <c r="D74" s="1"/>
  <c r="B71" i="5"/>
  <c r="B64" i="4"/>
  <c r="B65" s="1"/>
  <c r="B67" s="1"/>
  <c r="B71"/>
  <c r="B40" i="5"/>
  <c r="B41" s="1"/>
  <c r="B38"/>
  <c r="B74"/>
  <c r="D74" s="1"/>
  <c r="K55" i="6" l="1"/>
  <c r="K56"/>
  <c r="B72" i="2"/>
  <c r="B73" s="1"/>
  <c r="B75" s="1"/>
  <c r="B79"/>
  <c r="B85" s="1"/>
  <c r="B59" i="1"/>
  <c r="B59" i="5"/>
  <c r="B57" i="6"/>
  <c r="B60"/>
  <c r="K57" l="1"/>
  <c r="K60"/>
</calcChain>
</file>

<file path=xl/sharedStrings.xml><?xml version="1.0" encoding="utf-8"?>
<sst xmlns="http://schemas.openxmlformats.org/spreadsheetml/2006/main" count="978" uniqueCount="183">
  <si>
    <t>ESERCIZIO CLIMATIZZAZIONE INVERNALE 1</t>
  </si>
  <si>
    <t>IMPIANTO DI CLIMATIZZAZIONE INVERNALE SENZA RICIRCOLO</t>
  </si>
  <si>
    <t>CITTA' XXX</t>
  </si>
  <si>
    <t>Num. Persone</t>
  </si>
  <si>
    <t xml:space="preserve"> attività moderata</t>
  </si>
  <si>
    <t>TE</t>
  </si>
  <si>
    <t>°C</t>
  </si>
  <si>
    <t>Port. Rinnovo</t>
  </si>
  <si>
    <t>l/s</t>
  </si>
  <si>
    <t>m3/h</t>
  </si>
  <si>
    <t>UR%E</t>
  </si>
  <si>
    <t>%</t>
  </si>
  <si>
    <t>Qp lat</t>
  </si>
  <si>
    <t>w</t>
  </si>
  <si>
    <t>pv sat E</t>
  </si>
  <si>
    <t>Pa</t>
  </si>
  <si>
    <t xml:space="preserve">Trovo mvap dalla  Q lat. = mvap* hv = mvap*( 2500 + 1,9 T)   [Kw] </t>
  </si>
  <si>
    <t>wE</t>
  </si>
  <si>
    <t>kg/kg as</t>
  </si>
  <si>
    <t>m vap.</t>
  </si>
  <si>
    <t>Kg vap/s</t>
  </si>
  <si>
    <t>g / h</t>
  </si>
  <si>
    <t>hE</t>
  </si>
  <si>
    <t>kJ/kg</t>
  </si>
  <si>
    <t>m vap. tot.</t>
  </si>
  <si>
    <t xml:space="preserve">ΔwAI </t>
  </si>
  <si>
    <t>Δw = m vap. / m as</t>
  </si>
  <si>
    <t>Calore sensibile</t>
  </si>
  <si>
    <t>wI</t>
  </si>
  <si>
    <t>wI= wA-Δw</t>
  </si>
  <si>
    <t>FC</t>
  </si>
  <si>
    <t>Calore latente</t>
  </si>
  <si>
    <t>SOLUZIONE ANALITICA</t>
  </si>
  <si>
    <t>Fisso dati ambiente da climatizzare</t>
  </si>
  <si>
    <t>TA</t>
  </si>
  <si>
    <t>UR%A</t>
  </si>
  <si>
    <t>UR= pv/ps *100  %</t>
  </si>
  <si>
    <t>psat A</t>
  </si>
  <si>
    <t xml:space="preserve">Pa   </t>
  </si>
  <si>
    <t>pv sat = 0,0496965*T^3+0,979515*T^2+46,9035*T+609,484</t>
  </si>
  <si>
    <t>wA</t>
  </si>
  <si>
    <t xml:space="preserve">Kgv/Kg as    </t>
  </si>
  <si>
    <t>w = 0,622 * pv / (p-pv) = 0,622* UR*ps/100 / (p-UR*ps/100)</t>
  </si>
  <si>
    <t>hA</t>
  </si>
  <si>
    <t>h = 1,006*T+w*(2500+1,9*T)     [Kj]</t>
  </si>
  <si>
    <t>Calcolo fattore di carico</t>
  </si>
  <si>
    <t>Qs</t>
  </si>
  <si>
    <t>Ql</t>
  </si>
  <si>
    <t>Qtotale</t>
  </si>
  <si>
    <t>F. carico</t>
  </si>
  <si>
    <r>
      <rPr>
        <sz val="11"/>
        <color rgb="FF000000"/>
        <rFont val="Calibri"/>
        <family val="2"/>
        <charset val="1"/>
      </rPr>
      <t xml:space="preserve">Assumo </t>
    </r>
    <r>
      <rPr>
        <b/>
        <sz val="11"/>
        <color rgb="FFFF0000"/>
        <rFont val="Calibri"/>
        <family val="2"/>
        <charset val="1"/>
      </rPr>
      <t>ΔT</t>
    </r>
    <r>
      <rPr>
        <sz val="11"/>
        <color rgb="FF000000"/>
        <rFont val="Calibri"/>
        <family val="2"/>
        <charset val="1"/>
      </rPr>
      <t xml:space="preserve"> immissione</t>
    </r>
  </si>
  <si>
    <r>
      <rPr>
        <sz val="11"/>
        <color rgb="FF000000"/>
        <rFont val="Calibri"/>
        <family val="2"/>
        <charset val="1"/>
      </rPr>
      <t>T</t>
    </r>
    <r>
      <rPr>
        <sz val="8"/>
        <color rgb="FF000000"/>
        <rFont val="Calibri"/>
        <family val="2"/>
        <charset val="1"/>
      </rPr>
      <t>I</t>
    </r>
  </si>
  <si>
    <t>Trovo la portata immissione</t>
  </si>
  <si>
    <t>ma tot.</t>
  </si>
  <si>
    <t>Kg/s</t>
  </si>
  <si>
    <t>Qs totale = m Ct (Ta-Ti)  [w]  con   Ct aria= 1006 j/kg k</t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</si>
  <si>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charset val="1"/>
      </rPr>
      <t>h</t>
    </r>
    <r>
      <rPr>
        <sz val="9"/>
        <color rgb="FF000000"/>
        <rFont val="Calibri"/>
        <family val="2"/>
        <charset val="1"/>
      </rPr>
      <t>AI</t>
    </r>
    <r>
      <rPr>
        <sz val="11"/>
        <color rgb="FF000000"/>
        <rFont val="Calibri"/>
        <family val="2"/>
        <charset val="1"/>
      </rPr>
      <t>= Qtot / ma</t>
    </r>
  </si>
  <si>
    <r>
      <rPr>
        <i/>
        <sz val="11"/>
        <color rgb="FFFF0000"/>
        <rFont val="Calibri"/>
        <family val="2"/>
        <charset val="1"/>
      </rP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charset val="1"/>
      </rPr>
      <t>h</t>
    </r>
    <r>
      <rPr>
        <i/>
        <sz val="8"/>
        <color rgb="FFFF0000"/>
        <rFont val="Calibri"/>
        <family val="2"/>
        <charset val="1"/>
      </rPr>
      <t>AI</t>
    </r>
  </si>
  <si>
    <t>hI</t>
  </si>
  <si>
    <r>
      <rPr>
        <i/>
        <sz val="11"/>
        <color rgb="FFFF0000"/>
        <rFont val="Calibri"/>
        <family val="2"/>
        <charset val="1"/>
      </rPr>
      <t>h</t>
    </r>
    <r>
      <rPr>
        <i/>
        <sz val="9"/>
        <color rgb="FFFF0000"/>
        <rFont val="Calibri"/>
        <family val="2"/>
        <charset val="1"/>
      </rPr>
      <t>I</t>
    </r>
    <r>
      <rPr>
        <i/>
        <sz val="11"/>
        <color rgb="FFFF0000"/>
        <rFont val="Calibri"/>
        <family val="2"/>
        <charset val="1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charset val="1"/>
      </rPr>
      <t>h</t>
    </r>
  </si>
  <si>
    <t>Kg/Kg as</t>
  </si>
  <si>
    <t>KJ/kg</t>
  </si>
  <si>
    <t>h = (1,006+1,9*w) *T + 2501*w    [kJ/kg]</t>
  </si>
  <si>
    <t>pv sat I</t>
  </si>
  <si>
    <t>pv I</t>
  </si>
  <si>
    <t xml:space="preserve">Pa       </t>
  </si>
  <si>
    <t>pv = p * w / (0,622+ w)</t>
  </si>
  <si>
    <t>UR% I = pv / psat *100</t>
  </si>
  <si>
    <t>UR% = pv / psat *100</t>
  </si>
  <si>
    <t>Ricambio minimo aria</t>
  </si>
  <si>
    <t>A persona</t>
  </si>
  <si>
    <t>Kg/h</t>
  </si>
  <si>
    <t>N. persone</t>
  </si>
  <si>
    <t>m rinn. MINIMA</t>
  </si>
  <si>
    <t>kg/s</t>
  </si>
  <si>
    <t>Miscelazione rinnovo / ricircolo</t>
  </si>
  <si>
    <t>m tot</t>
  </si>
  <si>
    <t>m ric. 0%</t>
  </si>
  <si>
    <t>m rinnovo 100%</t>
  </si>
  <si>
    <t>kg/s  --&gt; minimo garantito OK</t>
  </si>
  <si>
    <t>Punto di miscelazione M fra aria rinnovo E e aria ricircolo A</t>
  </si>
  <si>
    <t>TM misc</t>
  </si>
  <si>
    <t>hM misc</t>
  </si>
  <si>
    <t>wM misc</t>
  </si>
  <si>
    <t>kg v / kg as</t>
  </si>
  <si>
    <t>pv M</t>
  </si>
  <si>
    <t>UR = pv / psat *100</t>
  </si>
  <si>
    <t>Temperatura uscita batteria calda 1</t>
  </si>
  <si>
    <t>h1=hI</t>
  </si>
  <si>
    <t>w1=wE</t>
  </si>
  <si>
    <t>T1</t>
  </si>
  <si>
    <t>pv sat F</t>
  </si>
  <si>
    <t>pv F</t>
  </si>
  <si>
    <t>UR F = pv / psat *100</t>
  </si>
  <si>
    <t>Potenza batteria di riscaldamento fra E--&gt;I</t>
  </si>
  <si>
    <t>P c= m * (h1 - hE) =</t>
  </si>
  <si>
    <t>Kw</t>
  </si>
  <si>
    <t>Portata acqua umidificatore fra 1--&gt;I</t>
  </si>
  <si>
    <t>m H2O =</t>
  </si>
  <si>
    <t>ESERCIZIO CLIMATIZZAZIONE INVERNALE 2</t>
  </si>
  <si>
    <r>
      <rPr>
        <sz val="11"/>
        <color rgb="FF000000"/>
        <rFont val="Calibri"/>
        <family val="2"/>
        <charset val="1"/>
      </rPr>
      <t xml:space="preserve">Assumo </t>
    </r>
    <r>
      <rPr>
        <b/>
        <sz val="11"/>
        <color rgb="FFFF0000"/>
        <rFont val="Calibri"/>
        <family val="2"/>
        <charset val="1"/>
      </rPr>
      <t>ΔT</t>
    </r>
    <r>
      <rPr>
        <sz val="11"/>
        <color rgb="FF000000"/>
        <rFont val="Calibri"/>
        <family val="2"/>
        <charset val="1"/>
      </rPr>
      <t xml:space="preserve"> immissione di 7°C:</t>
    </r>
  </si>
  <si>
    <t>pv = patm * w / (0,622+ w)</t>
  </si>
  <si>
    <t>Punto 2 uscita umidificatore</t>
  </si>
  <si>
    <t>UR2</t>
  </si>
  <si>
    <t>saturazione</t>
  </si>
  <si>
    <t>w2=wI</t>
  </si>
  <si>
    <t>pv2</t>
  </si>
  <si>
    <t>pvs 2 = pv2</t>
  </si>
  <si>
    <t>T2=TrI</t>
  </si>
  <si>
    <t>Tsat=Tr=237,3*ln(pv/610,5)/(17,269-ln(pv/610,5))</t>
  </si>
  <si>
    <t>h2</t>
  </si>
  <si>
    <t>Temperatura uscita batteria calda 1''</t>
  </si>
  <si>
    <t>h1''=h2</t>
  </si>
  <si>
    <t>w1''=wE</t>
  </si>
  <si>
    <t>T1''</t>
  </si>
  <si>
    <t>Potenza batteria di riscaldamento fra E--&gt;1''</t>
  </si>
  <si>
    <t>Pc1 = m * (h1 - hE) =</t>
  </si>
  <si>
    <t>Potenza batteria di riscaldamento fra I--&gt;2</t>
  </si>
  <si>
    <t>Pc2 = m * (h1 - hE) =</t>
  </si>
  <si>
    <t>Potenza totale batterie di riscaldamento</t>
  </si>
  <si>
    <t>Ptot=Pc1+Pc2</t>
  </si>
  <si>
    <t>NB: è la stessa del caso 1 ma ottenuta con Tmandata del generatore di calore più basse</t>
  </si>
  <si>
    <t>Portata acqua umidificatore fra 1''--&gt;2</t>
  </si>
  <si>
    <t>ESERCIZIO CLIMATIZZAZIONE INVERNALE 3</t>
  </si>
  <si>
    <t>Temperatura uscita batteria calda 1'</t>
  </si>
  <si>
    <t>T1'=TI</t>
  </si>
  <si>
    <t>h1'</t>
  </si>
  <si>
    <t>Potenza batteria di riscaldamento fra E--&gt;I'</t>
  </si>
  <si>
    <t>Portata vapore umidificatore fra 1--&gt;I'</t>
  </si>
  <si>
    <t>VERIFICA CLIMATIZZAZIONE INVERNALE 1</t>
  </si>
  <si>
    <t>Port. rinnovo</t>
  </si>
  <si>
    <t>Port. Tot</t>
  </si>
  <si>
    <t>Qp sens</t>
  </si>
  <si>
    <t>Calore sensibile tot</t>
  </si>
  <si>
    <t>Calore latente tot</t>
  </si>
  <si>
    <t>IMPIANTO DI CLIMATIZZAZIONE ESTIVO UFFICI</t>
  </si>
  <si>
    <t>Roma</t>
  </si>
  <si>
    <t xml:space="preserve"> attività moderata da seduti uffici</t>
  </si>
  <si>
    <t>URE</t>
  </si>
  <si>
    <t>Calore sensibile locali</t>
  </si>
  <si>
    <t>Calore sensibile persone</t>
  </si>
  <si>
    <t>Calore latente persone</t>
  </si>
  <si>
    <t>URA</t>
  </si>
  <si>
    <t>h = 1,006*T+w*(2501+1,9*T)     [Kj]</t>
  </si>
  <si>
    <t>Qs tot</t>
  </si>
  <si>
    <t>Ql tot</t>
  </si>
  <si>
    <t>UR I = pv / psat *100</t>
  </si>
  <si>
    <t>Temperatura Batteria fredda</t>
  </si>
  <si>
    <t>wF=wI</t>
  </si>
  <si>
    <t>UR F</t>
  </si>
  <si>
    <t>TF</t>
  </si>
  <si>
    <t>hF</t>
  </si>
  <si>
    <t>P f = m * (hI – hF) =</t>
  </si>
  <si>
    <t>Portata acqua condensata fra E-→F</t>
  </si>
  <si>
    <t>Port. Tot. Rinn.</t>
  </si>
  <si>
    <t>Potenze termiche scambiate</t>
  </si>
  <si>
    <t>Q totale</t>
  </si>
  <si>
    <t>TI = TA</t>
  </si>
  <si>
    <t xml:space="preserve">FAN COILS: </t>
  </si>
  <si>
    <t>L’aria immessa deve solo garantire il rinnovo richiesto e vincere il carico latente</t>
  </si>
  <si>
    <t>ma tot. = m rinnovo</t>
  </si>
  <si>
    <t xml:space="preserve">Q lat. = mvap* hv = mvap*( 2501 + 1,9 T)   [Kw] </t>
  </si>
  <si>
    <t>m vap. Tot</t>
  </si>
  <si>
    <t>UTA: IMMISSIONE ARIA NEUTRA</t>
  </si>
  <si>
    <t>mH20 fredda</t>
  </si>
  <si>
    <t>Q= m CT DT</t>
  </si>
  <si>
    <t>La portata complessiva di acqua fredda per l'impianto FC vale:</t>
  </si>
  <si>
    <t>Devono sottrarre il calore sensibile entrante nell'edificio per mantenere la Ta</t>
  </si>
  <si>
    <t>QFC = Qs tot - ma(ha-hi)</t>
  </si>
  <si>
    <t>UTA: IMMISSIONE ARIA con DT=10°C</t>
  </si>
  <si>
    <t>TI = TA-10</t>
  </si>
  <si>
    <t>wI= wA-Δw= wA - (mv/ma)</t>
  </si>
  <si>
    <t>TrA</t>
  </si>
  <si>
    <t>pv A</t>
  </si>
  <si>
    <t>pv = UR * pv sat/100</t>
  </si>
  <si>
    <t>UR= pv/pv sat *100  %</t>
  </si>
  <si>
    <t xml:space="preserve">Ipotizzo di usare acqua refrigerata con Dt=10°C e una T &gt; Trugiada aria </t>
  </si>
  <si>
    <t>DT H20</t>
  </si>
  <si>
    <t>ESERCIZIO CLIMATIZZAZIONE ESTIVA ARIA PRIMARIA Ti=Ta</t>
  </si>
  <si>
    <t>ESERCIZIO CLIMATIZZAZIONE ESTIVA ARIA PRIMARIA Ti=Ta-10</t>
  </si>
  <si>
    <t>QFC fan coils</t>
  </si>
  <si>
    <t>QFC = Qs tot - ma (ha-hi)</t>
  </si>
  <si>
    <t>Potenza post riscaldamento</t>
  </si>
</sst>
</file>

<file path=xl/styles.xml><?xml version="1.0" encoding="utf-8"?>
<styleSheet xmlns="http://schemas.openxmlformats.org/spreadsheetml/2006/main">
  <numFmts count="6">
    <numFmt numFmtId="164" formatCode="0.0000"/>
    <numFmt numFmtId="165" formatCode="0.0"/>
    <numFmt numFmtId="166" formatCode="0.000000"/>
    <numFmt numFmtId="167" formatCode="0.00000"/>
    <numFmt numFmtId="168" formatCode="0.000"/>
    <numFmt numFmtId="169" formatCode="#"/>
  </numFmts>
  <fonts count="1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sz val="9"/>
      <color rgb="FF000000"/>
      <name val="Calibri"/>
      <family val="2"/>
      <charset val="1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charset val="1"/>
    </font>
    <font>
      <i/>
      <sz val="9"/>
      <color rgb="FFFF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79646"/>
      </patternFill>
    </fill>
    <fill>
      <patternFill patternType="solid">
        <fgColor rgb="FFFFFF00"/>
        <bgColor rgb="FFFFFF00"/>
      </patternFill>
    </fill>
    <fill>
      <patternFill patternType="solid">
        <fgColor rgb="FFF79646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7964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7964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1" fontId="0" fillId="4" borderId="0" xfId="0" applyNumberFormat="1" applyFill="1"/>
    <xf numFmtId="0" fontId="2" fillId="2" borderId="0" xfId="0" applyFont="1" applyFill="1"/>
    <xf numFmtId="0" fontId="3" fillId="2" borderId="0" xfId="0" applyFont="1" applyFill="1"/>
    <xf numFmtId="164" fontId="0" fillId="4" borderId="0" xfId="0" applyNumberFormat="1" applyFill="1"/>
    <xf numFmtId="0" fontId="0" fillId="4" borderId="0" xfId="0" applyFill="1"/>
    <xf numFmtId="165" fontId="0" fillId="2" borderId="0" xfId="0" applyNumberFormat="1" applyFill="1"/>
    <xf numFmtId="2" fontId="0" fillId="4" borderId="0" xfId="0" applyNumberFormat="1" applyFill="1"/>
    <xf numFmtId="166" fontId="0" fillId="4" borderId="0" xfId="0" applyNumberFormat="1" applyFill="1"/>
    <xf numFmtId="0" fontId="4" fillId="2" borderId="0" xfId="0" applyFont="1" applyFill="1"/>
    <xf numFmtId="167" fontId="4" fillId="4" borderId="0" xfId="0" applyNumberFormat="1" applyFont="1" applyFill="1"/>
    <xf numFmtId="165" fontId="0" fillId="3" borderId="0" xfId="0" applyNumberFormat="1" applyFill="1"/>
    <xf numFmtId="2" fontId="0" fillId="2" borderId="0" xfId="0" applyNumberFormat="1" applyFill="1"/>
    <xf numFmtId="167" fontId="0" fillId="4" borderId="0" xfId="0" applyNumberFormat="1" applyFill="1"/>
    <xf numFmtId="0" fontId="0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5" borderId="0" xfId="0" applyFill="1"/>
    <xf numFmtId="0" fontId="7" fillId="2" borderId="0" xfId="0" applyFont="1" applyFill="1"/>
    <xf numFmtId="165" fontId="0" fillId="4" borderId="0" xfId="0" applyNumberFormat="1" applyFill="1"/>
    <xf numFmtId="164" fontId="0" fillId="2" borderId="0" xfId="0" applyNumberFormat="1" applyFill="1"/>
    <xf numFmtId="168" fontId="0" fillId="2" borderId="0" xfId="0" applyNumberFormat="1" applyFill="1"/>
    <xf numFmtId="168" fontId="0" fillId="4" borderId="0" xfId="0" applyNumberFormat="1" applyFill="1"/>
    <xf numFmtId="167" fontId="0" fillId="2" borderId="0" xfId="0" applyNumberFormat="1" applyFill="1"/>
    <xf numFmtId="1" fontId="0" fillId="2" borderId="0" xfId="0" applyNumberFormat="1" applyFill="1"/>
    <xf numFmtId="167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3" borderId="0" xfId="0" applyNumberFormat="1" applyFill="1"/>
    <xf numFmtId="0" fontId="0" fillId="2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2" fillId="2" borderId="0" xfId="0" applyFont="1" applyFill="1"/>
    <xf numFmtId="0" fontId="0" fillId="2" borderId="0" xfId="0" applyFill="1" applyAlignment="1">
      <alignment horizontal="left"/>
    </xf>
    <xf numFmtId="169" fontId="0" fillId="9" borderId="0" xfId="0" applyNumberFormat="1" applyFill="1"/>
    <xf numFmtId="165" fontId="0" fillId="9" borderId="0" xfId="0" applyNumberFormat="1" applyFill="1"/>
    <xf numFmtId="2" fontId="0" fillId="10" borderId="0" xfId="0" applyNumberFormat="1" applyFill="1"/>
    <xf numFmtId="165" fontId="0" fillId="11" borderId="0" xfId="0" applyNumberFormat="1" applyFill="1"/>
    <xf numFmtId="167" fontId="4" fillId="11" borderId="0" xfId="0" applyNumberFormat="1" applyFont="1" applyFill="1"/>
    <xf numFmtId="0" fontId="3" fillId="0" borderId="0" xfId="0" quotePrefix="1" applyFont="1"/>
    <xf numFmtId="0" fontId="2" fillId="7" borderId="0" xfId="0" applyFont="1" applyFill="1"/>
    <xf numFmtId="0" fontId="3" fillId="7" borderId="0" xfId="0" applyFont="1" applyFill="1"/>
    <xf numFmtId="166" fontId="0" fillId="11" borderId="0" xfId="0" applyNumberFormat="1" applyFill="1"/>
    <xf numFmtId="0" fontId="13" fillId="2" borderId="0" xfId="0" applyFont="1" applyFill="1"/>
    <xf numFmtId="168" fontId="0" fillId="6" borderId="0" xfId="0" applyNumberFormat="1" applyFill="1"/>
    <xf numFmtId="0" fontId="0" fillId="12" borderId="0" xfId="0" applyFill="1"/>
    <xf numFmtId="0" fontId="0" fillId="9" borderId="0" xfId="0" applyFill="1"/>
    <xf numFmtId="0" fontId="0" fillId="10" borderId="0" xfId="0" applyFill="1"/>
    <xf numFmtId="165" fontId="0" fillId="10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431840" y="182880"/>
          <a:ext cx="1071072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290720" y="182880"/>
          <a:ext cx="1071108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52</xdr:row>
      <xdr:rowOff>33120</xdr:rowOff>
    </xdr:from>
    <xdr:to>
      <xdr:col>4</xdr:col>
      <xdr:colOff>303480</xdr:colOff>
      <xdr:row>58</xdr:row>
      <xdr:rowOff>15120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50472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27</xdr:col>
      <xdr:colOff>45360</xdr:colOff>
      <xdr:row>42</xdr:row>
      <xdr:rowOff>114120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290720" y="365760"/>
          <a:ext cx="1071108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431840" y="182880"/>
          <a:ext cx="1071072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431840" y="182880"/>
          <a:ext cx="1071072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63035</xdr:colOff>
      <xdr:row>0</xdr:row>
      <xdr:rowOff>35329</xdr:rowOff>
    </xdr:from>
    <xdr:to>
      <xdr:col>31</xdr:col>
      <xdr:colOff>284877</xdr:colOff>
      <xdr:row>34</xdr:row>
      <xdr:rowOff>7314</xdr:rowOff>
    </xdr:to>
    <xdr:pic>
      <xdr:nvPicPr>
        <xdr:cNvPr id="17" name="Immagin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199915" y="35329"/>
          <a:ext cx="7948522" cy="61060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23</xdr:col>
      <xdr:colOff>19243</xdr:colOff>
      <xdr:row>21</xdr:row>
      <xdr:rowOff>155231</xdr:rowOff>
    </xdr:from>
    <xdr:to>
      <xdr:col>23</xdr:col>
      <xdr:colOff>136963</xdr:colOff>
      <xdr:row>22</xdr:row>
      <xdr:rowOff>143471</xdr:rowOff>
    </xdr:to>
    <xdr:sp macro="" textlink="">
      <xdr:nvSpPr>
        <xdr:cNvPr id="11" name="CasellaDiTesto 1"/>
        <xdr:cNvSpPr/>
      </xdr:nvSpPr>
      <xdr:spPr>
        <a:xfrm>
          <a:off x="15152563" y="3927131"/>
          <a:ext cx="117720" cy="155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F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21</xdr:col>
      <xdr:colOff>53716</xdr:colOff>
      <xdr:row>11</xdr:row>
      <xdr:rowOff>170831</xdr:rowOff>
    </xdr:from>
    <xdr:to>
      <xdr:col>21</xdr:col>
      <xdr:colOff>171436</xdr:colOff>
      <xdr:row>12</xdr:row>
      <xdr:rowOff>143831</xdr:rowOff>
    </xdr:to>
    <xdr:sp macro="" textlink="">
      <xdr:nvSpPr>
        <xdr:cNvPr id="12" name="CasellaDiTesto 2"/>
        <xdr:cNvSpPr/>
      </xdr:nvSpPr>
      <xdr:spPr>
        <a:xfrm>
          <a:off x="13998316" y="2129171"/>
          <a:ext cx="117720" cy="155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E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172695</xdr:colOff>
      <xdr:row>20</xdr:row>
      <xdr:rowOff>118456</xdr:rowOff>
    </xdr:from>
    <xdr:to>
      <xdr:col>19</xdr:col>
      <xdr:colOff>327660</xdr:colOff>
      <xdr:row>21</xdr:row>
      <xdr:rowOff>154651</xdr:rowOff>
    </xdr:to>
    <xdr:sp macro="" textlink="">
      <xdr:nvSpPr>
        <xdr:cNvPr id="13" name="CasellaDiTesto 3"/>
        <xdr:cNvSpPr/>
      </xdr:nvSpPr>
      <xdr:spPr>
        <a:xfrm>
          <a:off x="12928575" y="3707476"/>
          <a:ext cx="154965" cy="219075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A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284875</xdr:colOff>
      <xdr:row>25</xdr:row>
      <xdr:rowOff>119962</xdr:rowOff>
    </xdr:from>
    <xdr:to>
      <xdr:col>19</xdr:col>
      <xdr:colOff>402595</xdr:colOff>
      <xdr:row>26</xdr:row>
      <xdr:rowOff>92962</xdr:rowOff>
    </xdr:to>
    <xdr:sp macro="" textlink="">
      <xdr:nvSpPr>
        <xdr:cNvPr id="16" name="CasellaDiTesto 8"/>
        <xdr:cNvSpPr/>
      </xdr:nvSpPr>
      <xdr:spPr>
        <a:xfrm>
          <a:off x="13040755" y="4608142"/>
          <a:ext cx="117720" cy="155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I</a:t>
          </a:r>
          <a:endParaRPr lang="it-IT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8"/>
  <sheetViews>
    <sheetView topLeftCell="A34" zoomScaleNormal="100" workbookViewId="0">
      <selection activeCell="F4" sqref="F4"/>
    </sheetView>
  </sheetViews>
  <sheetFormatPr defaultColWidth="8.6640625"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0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8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32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80</v>
      </c>
      <c r="C6" s="1" t="s">
        <v>11</v>
      </c>
      <c r="D6" s="1" t="s">
        <v>12</v>
      </c>
      <c r="E6" s="3">
        <v>99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3.0076063038380531E-3</v>
      </c>
      <c r="C8" s="1" t="s">
        <v>18</v>
      </c>
      <c r="D8" s="1" t="s">
        <v>19</v>
      </c>
      <c r="E8" s="8">
        <f>E6/1000/(2501+1.9*$B$18)</f>
        <v>3.8991729027176057E-5</v>
      </c>
      <c r="F8" s="1" t="s">
        <v>20</v>
      </c>
      <c r="G8" s="9">
        <f>E8*3600*1000</f>
        <v>140.37022449783382</v>
      </c>
      <c r="H8" s="1" t="s">
        <v>21</v>
      </c>
    </row>
    <row r="9" spans="1:8">
      <c r="A9" s="1" t="s">
        <v>22</v>
      </c>
      <c r="B9" s="10">
        <f>1.006*B5+B8*(2501+1.805*B5)</f>
        <v>7.5220233658989706</v>
      </c>
      <c r="C9" s="1" t="s">
        <v>23</v>
      </c>
      <c r="D9" s="1" t="s">
        <v>24</v>
      </c>
      <c r="E9" s="11">
        <f>E8*E4</f>
        <v>1.2477353288696338E-3</v>
      </c>
      <c r="F9" s="1" t="s">
        <v>20</v>
      </c>
      <c r="G9" s="1"/>
      <c r="H9" s="1"/>
    </row>
    <row r="10" spans="1:8" ht="13.2" customHeight="1">
      <c r="A10" s="1"/>
      <c r="B10" s="1"/>
      <c r="C10" s="1"/>
      <c r="D10" s="12" t="s">
        <v>25</v>
      </c>
      <c r="E10" s="8">
        <f>E9/B34</f>
        <v>2.5190803285263648E-4</v>
      </c>
      <c r="G10" s="6" t="s">
        <v>26</v>
      </c>
    </row>
    <row r="11" spans="1:8" s="1" customFormat="1">
      <c r="A11" s="1" t="s">
        <v>27</v>
      </c>
      <c r="B11" s="3">
        <v>-34880</v>
      </c>
      <c r="C11" s="1" t="s">
        <v>13</v>
      </c>
      <c r="D11" s="1" t="s">
        <v>28</v>
      </c>
      <c r="E11" s="13">
        <f>B21-E10</f>
        <v>7.00459159801518E-3</v>
      </c>
      <c r="G11" s="6" t="s">
        <v>29</v>
      </c>
    </row>
    <row r="12" spans="1:8" s="1" customFormat="1">
      <c r="A12" s="1" t="s">
        <v>30</v>
      </c>
      <c r="B12" s="3">
        <v>1.1000000000000001</v>
      </c>
      <c r="E12" s="13"/>
      <c r="G12" s="6"/>
    </row>
    <row r="13" spans="1:8" s="1" customFormat="1">
      <c r="A13" s="1" t="s">
        <v>31</v>
      </c>
      <c r="B13" s="14">
        <f>(B11-B12*B11)/B12</f>
        <v>3170.9090909090905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-34880</v>
      </c>
      <c r="C25" s="1" t="s">
        <v>13</v>
      </c>
    </row>
    <row r="26" spans="1:5" s="1" customFormat="1">
      <c r="A26" s="1" t="s">
        <v>47</v>
      </c>
      <c r="B26" s="9">
        <f>B13</f>
        <v>3170.9090909090905</v>
      </c>
      <c r="C26" s="1" t="s">
        <v>13</v>
      </c>
    </row>
    <row r="27" spans="1:5" s="1" customFormat="1">
      <c r="A27" s="17" t="s">
        <v>48</v>
      </c>
      <c r="B27" s="8">
        <f>B25+B26</f>
        <v>-31709.090909090908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1.1000000000000001</v>
      </c>
      <c r="D28" s="18"/>
      <c r="E28" s="15"/>
    </row>
    <row r="29" spans="1:5" s="1" customFormat="1">
      <c r="B29" s="15"/>
    </row>
    <row r="30" spans="1:5" s="1" customFormat="1">
      <c r="A30" s="1" t="s">
        <v>50</v>
      </c>
      <c r="B30" s="3">
        <v>7</v>
      </c>
      <c r="C30" s="1" t="s">
        <v>6</v>
      </c>
    </row>
    <row r="31" spans="1:5" s="1" customFormat="1">
      <c r="A31" s="1" t="s">
        <v>51</v>
      </c>
      <c r="B31" s="19">
        <f>B18+B30</f>
        <v>27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4.9531383129792674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-6.4018181818181814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44.93228339529292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6.9651877063822048E-3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44.939248582999298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3568.1211445000004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1122.0774347190718</v>
      </c>
      <c r="C40" s="1" t="s">
        <v>65</v>
      </c>
      <c r="D40" s="5" t="s">
        <v>66</v>
      </c>
    </row>
    <row r="41" spans="1:8" s="1" customFormat="1">
      <c r="A41" s="1" t="s">
        <v>67</v>
      </c>
      <c r="B41" s="21">
        <f>B40/B39*100</f>
        <v>31.447290864792322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32</v>
      </c>
    </row>
    <row r="46" spans="1:8" s="1" customFormat="1">
      <c r="A46" s="1" t="s">
        <v>73</v>
      </c>
      <c r="B46" s="8">
        <f>B45*H44</f>
        <v>0.26879999999999998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4.9531383129792674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4.9531383129792674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7.5220233658989706</v>
      </c>
      <c r="C55" s="1" t="s">
        <v>23</v>
      </c>
    </row>
    <row r="56" spans="1:4" s="1" customFormat="1">
      <c r="A56" s="1" t="s">
        <v>83</v>
      </c>
      <c r="B56" s="7">
        <f>(B8*$B$51+B21*$B$50)/$B$49</f>
        <v>3.0076063038380531E-3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487.5872</v>
      </c>
      <c r="C58" s="1" t="s">
        <v>15</v>
      </c>
    </row>
    <row r="59" spans="1:4" s="1" customFormat="1">
      <c r="A59" s="1" t="s">
        <v>86</v>
      </c>
      <c r="B59" s="21">
        <f>B58/B57*100</f>
        <v>80</v>
      </c>
      <c r="C59" s="1" t="s">
        <v>11</v>
      </c>
    </row>
    <row r="60" spans="1:4" s="1" customFormat="1"/>
    <row r="61" spans="1:4" s="1" customFormat="1">
      <c r="A61" s="2" t="s">
        <v>87</v>
      </c>
    </row>
    <row r="62" spans="1:4" s="1" customFormat="1">
      <c r="A62" s="1" t="s">
        <v>88</v>
      </c>
      <c r="B62" s="15">
        <f>B36</f>
        <v>44.93228339529292</v>
      </c>
      <c r="C62" s="1" t="s">
        <v>23</v>
      </c>
    </row>
    <row r="63" spans="1:4" s="1" customFormat="1">
      <c r="A63" s="1" t="s">
        <v>89</v>
      </c>
      <c r="B63" s="22">
        <f>B8</f>
        <v>3.0076063038380531E-3</v>
      </c>
      <c r="C63" s="1" t="s">
        <v>84</v>
      </c>
      <c r="D63" s="5" t="s">
        <v>66</v>
      </c>
    </row>
    <row r="64" spans="1:4" s="1" customFormat="1">
      <c r="A64" s="1" t="s">
        <v>90</v>
      </c>
      <c r="B64" s="22">
        <f>B62-2501*B63/(1.006+1.9*B63)</f>
        <v>37.49735612782338</v>
      </c>
      <c r="C64" s="1" t="s">
        <v>6</v>
      </c>
      <c r="D64" s="5" t="s">
        <v>62</v>
      </c>
    </row>
    <row r="65" spans="1:7" s="1" customFormat="1">
      <c r="A65" s="1" t="s">
        <v>91</v>
      </c>
      <c r="B65" s="4">
        <f>0.0496965*B64^3+0.979515*B64^2+46.9035*B64+609.484</f>
        <v>6365.6495899729971</v>
      </c>
      <c r="C65" s="1" t="s">
        <v>15</v>
      </c>
      <c r="D65" s="5" t="s">
        <v>39</v>
      </c>
    </row>
    <row r="66" spans="1:7" s="1" customFormat="1">
      <c r="A66" s="1" t="s">
        <v>92</v>
      </c>
      <c r="B66" s="4">
        <f>101325*B63/(0.622+B63)</f>
        <v>487.5872</v>
      </c>
      <c r="D66" s="5" t="s">
        <v>66</v>
      </c>
    </row>
    <row r="67" spans="1:7" s="1" customFormat="1">
      <c r="A67" s="1" t="s">
        <v>93</v>
      </c>
      <c r="B67" s="21">
        <f>B66/B65*100</f>
        <v>7.6596613292700635</v>
      </c>
      <c r="C67" s="1" t="s">
        <v>11</v>
      </c>
      <c r="D67" s="5" t="s">
        <v>68</v>
      </c>
    </row>
    <row r="68" spans="1:7" s="1" customFormat="1"/>
    <row r="69" spans="1:7" s="1" customFormat="1"/>
    <row r="70" spans="1:7" s="1" customFormat="1">
      <c r="A70" s="2" t="s">
        <v>94</v>
      </c>
    </row>
    <row r="71" spans="1:7" s="1" customFormat="1">
      <c r="A71" s="1" t="s">
        <v>95</v>
      </c>
      <c r="B71" s="21">
        <f>B49*(B62-B9)</f>
        <v>185.29819225010809</v>
      </c>
      <c r="C71" s="1" t="s">
        <v>96</v>
      </c>
    </row>
    <row r="72" spans="1:7" s="1" customFormat="1">
      <c r="B72" s="21"/>
      <c r="G72" s="15"/>
    </row>
    <row r="73" spans="1:7" s="1" customFormat="1">
      <c r="A73" s="2" t="s">
        <v>97</v>
      </c>
      <c r="G73" s="15"/>
    </row>
    <row r="74" spans="1:7" s="1" customFormat="1">
      <c r="A74" s="1" t="s">
        <v>98</v>
      </c>
      <c r="B74" s="8">
        <f>B49*(B37-B63)</f>
        <v>1.9602448071675663E-2</v>
      </c>
      <c r="C74" s="1" t="s">
        <v>54</v>
      </c>
      <c r="D74" s="10">
        <f>B74*3600</f>
        <v>70.56881305803239</v>
      </c>
      <c r="E74" s="1" t="s">
        <v>71</v>
      </c>
    </row>
    <row r="75" spans="1:7" s="1" customFormat="1">
      <c r="D75" s="15"/>
    </row>
    <row r="76" spans="1:7" s="1" customFormat="1"/>
    <row r="77" spans="1:7" s="1" customFormat="1"/>
    <row r="78" spans="1:7" s="1" customFormat="1">
      <c r="A78" s="2"/>
    </row>
    <row r="79" spans="1:7" s="1" customFormat="1">
      <c r="B79" s="25"/>
    </row>
    <row r="80" spans="1:7" s="1" customFormat="1"/>
    <row r="81" spans="2:2" s="1" customFormat="1">
      <c r="B81" s="15"/>
    </row>
    <row r="82" spans="2:2" s="1" customFormat="1">
      <c r="B82" s="15"/>
    </row>
    <row r="83" spans="2:2" s="1" customFormat="1">
      <c r="B83" s="15"/>
    </row>
    <row r="84" spans="2:2" s="1" customFormat="1"/>
    <row r="85" spans="2:2" s="1" customFormat="1"/>
    <row r="86" spans="2:2" s="1" customFormat="1">
      <c r="B86" s="26"/>
    </row>
    <row r="87" spans="2:2" s="1" customFormat="1">
      <c r="B87" s="26"/>
    </row>
    <row r="88" spans="2:2" s="1" customFormat="1">
      <c r="B88" s="9"/>
    </row>
    <row r="89" spans="2:2" s="1" customFormat="1"/>
    <row r="90" spans="2:2" s="1" customFormat="1"/>
    <row r="91" spans="2:2" s="1" customFormat="1"/>
    <row r="126" spans="5:7">
      <c r="E126" s="27"/>
    </row>
    <row r="127" spans="5:7">
      <c r="E127" s="28"/>
    </row>
    <row r="128" spans="5:7">
      <c r="E128" s="28"/>
      <c r="G128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42"/>
  <sheetViews>
    <sheetView topLeftCell="A34" zoomScaleNormal="100" workbookViewId="0">
      <selection activeCell="D62" sqref="D62"/>
    </sheetView>
  </sheetViews>
  <sheetFormatPr defaultColWidth="8.6640625"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99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8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32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80</v>
      </c>
      <c r="C6" s="1" t="s">
        <v>11</v>
      </c>
      <c r="D6" s="1" t="s">
        <v>12</v>
      </c>
      <c r="E6" s="3">
        <v>100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3.0076063038380531E-3</v>
      </c>
      <c r="C8" s="1" t="s">
        <v>18</v>
      </c>
      <c r="D8" s="1" t="s">
        <v>19</v>
      </c>
      <c r="E8" s="8">
        <f>E6/1000/(2501+1.9*$B$18)</f>
        <v>3.9385584875935413E-5</v>
      </c>
      <c r="F8" s="1" t="s">
        <v>20</v>
      </c>
      <c r="G8" s="9">
        <f>E8*3600*1000</f>
        <v>141.7881055533675</v>
      </c>
      <c r="H8" s="1" t="s">
        <v>21</v>
      </c>
    </row>
    <row r="9" spans="1:8">
      <c r="A9" s="1" t="s">
        <v>22</v>
      </c>
      <c r="B9" s="10">
        <f>1.006*B5+B8*(2501+1.805*B5)</f>
        <v>7.5220233658989706</v>
      </c>
      <c r="C9" s="1" t="s">
        <v>23</v>
      </c>
      <c r="D9" s="1" t="s">
        <v>24</v>
      </c>
      <c r="E9" s="11">
        <f>E8*E4</f>
        <v>1.2603387160299332E-3</v>
      </c>
      <c r="F9" s="1" t="s">
        <v>20</v>
      </c>
      <c r="G9" s="1"/>
      <c r="H9" s="1"/>
    </row>
    <row r="10" spans="1:8" ht="13.2" customHeight="1">
      <c r="A10" s="1"/>
      <c r="B10" s="1"/>
      <c r="C10" s="1"/>
      <c r="D10" s="12" t="s">
        <v>25</v>
      </c>
      <c r="E10" s="8">
        <f>E9/B34</f>
        <v>2.5445255843700655E-4</v>
      </c>
      <c r="G10" s="6" t="s">
        <v>26</v>
      </c>
    </row>
    <row r="11" spans="1:8" s="1" customFormat="1">
      <c r="A11" s="1" t="s">
        <v>27</v>
      </c>
      <c r="B11" s="3">
        <v>-34880</v>
      </c>
      <c r="C11" s="1" t="s">
        <v>13</v>
      </c>
      <c r="D11" s="1" t="s">
        <v>28</v>
      </c>
      <c r="E11" s="13">
        <f>B21-E10</f>
        <v>7.0020470724308104E-3</v>
      </c>
      <c r="G11" s="6" t="s">
        <v>29</v>
      </c>
    </row>
    <row r="12" spans="1:8" s="1" customFormat="1">
      <c r="A12" s="1" t="s">
        <v>30</v>
      </c>
      <c r="B12" s="3">
        <v>1.1000000000000001</v>
      </c>
      <c r="E12" s="13"/>
      <c r="G12" s="6"/>
    </row>
    <row r="13" spans="1:8" s="1" customFormat="1">
      <c r="A13" s="1" t="s">
        <v>31</v>
      </c>
      <c r="B13" s="3">
        <f>(B11-B12*B11)/B12</f>
        <v>3170.9090909090905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-34880</v>
      </c>
      <c r="C25" s="1" t="s">
        <v>13</v>
      </c>
    </row>
    <row r="26" spans="1:5" s="1" customFormat="1">
      <c r="A26" s="1" t="s">
        <v>47</v>
      </c>
      <c r="B26" s="1">
        <f>B13</f>
        <v>3170.9090909090905</v>
      </c>
      <c r="C26" s="1" t="s">
        <v>13</v>
      </c>
    </row>
    <row r="27" spans="1:5" s="1" customFormat="1">
      <c r="A27" s="17" t="s">
        <v>48</v>
      </c>
      <c r="B27" s="8">
        <f>B25+B26</f>
        <v>-31709.090909090908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1.1000000000000001</v>
      </c>
      <c r="D28" s="18"/>
      <c r="E28" s="15"/>
    </row>
    <row r="29" spans="1:5" s="1" customFormat="1">
      <c r="B29" s="15"/>
    </row>
    <row r="30" spans="1:5" s="1" customFormat="1">
      <c r="A30" s="1" t="s">
        <v>100</v>
      </c>
      <c r="B30" s="3">
        <v>7</v>
      </c>
      <c r="C30" s="1" t="s">
        <v>6</v>
      </c>
    </row>
    <row r="31" spans="1:5" s="1" customFormat="1">
      <c r="A31" s="1" t="s">
        <v>51</v>
      </c>
      <c r="B31" s="19">
        <f>B18+B30</f>
        <v>27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4.9531383129792674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-6.4018181818181814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44.93228339529292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6.9651877063822048E-3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44.939248582999298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3568.1211445000004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1122.0774347190718</v>
      </c>
      <c r="C40" s="1" t="s">
        <v>65</v>
      </c>
      <c r="D40" s="5" t="s">
        <v>101</v>
      </c>
    </row>
    <row r="41" spans="1:8" s="1" customFormat="1">
      <c r="A41" s="1" t="s">
        <v>67</v>
      </c>
      <c r="B41" s="21">
        <f>B40/B39*100</f>
        <v>31.447290864792322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32</v>
      </c>
    </row>
    <row r="46" spans="1:8" s="1" customFormat="1">
      <c r="A46" s="1" t="s">
        <v>73</v>
      </c>
      <c r="B46" s="8">
        <f>B45*H44</f>
        <v>0.26879999999999998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4.9531383129792674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4.9531383129792674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7.5220233658989706</v>
      </c>
      <c r="C55" s="1" t="s">
        <v>23</v>
      </c>
    </row>
    <row r="56" spans="1:4" s="1" customFormat="1">
      <c r="A56" s="1" t="s">
        <v>83</v>
      </c>
      <c r="B56" s="7">
        <f>(B8*$B$51+B21*$B$50)/$B$49</f>
        <v>3.0076063038380531E-3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487.5872</v>
      </c>
      <c r="C58" s="1" t="s">
        <v>15</v>
      </c>
    </row>
    <row r="59" spans="1:4" s="1" customFormat="1">
      <c r="A59" s="1" t="s">
        <v>86</v>
      </c>
      <c r="B59" s="21">
        <f>B58/B57*100</f>
        <v>80</v>
      </c>
      <c r="C59" s="1" t="s">
        <v>11</v>
      </c>
    </row>
    <row r="60" spans="1:4" s="1" customFormat="1"/>
    <row r="61" spans="1:4" s="1" customFormat="1">
      <c r="A61" s="2" t="s">
        <v>102</v>
      </c>
    </row>
    <row r="62" spans="1:4" s="1" customFormat="1">
      <c r="A62" s="1" t="s">
        <v>103</v>
      </c>
      <c r="B62" s="1">
        <v>100</v>
      </c>
      <c r="C62" s="1" t="s">
        <v>11</v>
      </c>
      <c r="D62" s="5" t="s">
        <v>104</v>
      </c>
    </row>
    <row r="63" spans="1:4" s="1" customFormat="1">
      <c r="A63" s="1" t="s">
        <v>105</v>
      </c>
      <c r="B63" s="25">
        <f>B37</f>
        <v>6.9651877063822048E-3</v>
      </c>
      <c r="C63" s="1" t="s">
        <v>60</v>
      </c>
    </row>
    <row r="64" spans="1:4" s="1" customFormat="1">
      <c r="A64" s="1" t="s">
        <v>106</v>
      </c>
      <c r="B64" s="9">
        <f>101325*B63/(0.622+B63)</f>
        <v>1122.0774347190718</v>
      </c>
      <c r="C64" s="1" t="s">
        <v>15</v>
      </c>
      <c r="D64" s="5" t="s">
        <v>101</v>
      </c>
    </row>
    <row r="65" spans="1:7" s="1" customFormat="1">
      <c r="A65" s="1" t="s">
        <v>107</v>
      </c>
      <c r="B65" s="9">
        <f>B64</f>
        <v>1122.0774347190718</v>
      </c>
      <c r="C65" s="12" t="s">
        <v>15</v>
      </c>
      <c r="D65" s="5" t="s">
        <v>68</v>
      </c>
    </row>
    <row r="66" spans="1:7" s="1" customFormat="1">
      <c r="A66" s="1" t="s">
        <v>108</v>
      </c>
      <c r="B66" s="9">
        <f>237.3*LN(B64/610.5)/(17.269-LN(B64/610.5))</f>
        <v>8.669374339256521</v>
      </c>
      <c r="C66" s="1" t="s">
        <v>6</v>
      </c>
      <c r="D66" s="5" t="s">
        <v>109</v>
      </c>
    </row>
    <row r="67" spans="1:7" s="1" customFormat="1">
      <c r="A67" s="1" t="s">
        <v>110</v>
      </c>
      <c r="B67" s="9">
        <f>(1.006+1.9*B63)*B66+2501*B63</f>
        <v>26.256054296136604</v>
      </c>
      <c r="C67" s="1" t="s">
        <v>61</v>
      </c>
      <c r="D67" s="5" t="s">
        <v>62</v>
      </c>
    </row>
    <row r="68" spans="1:7" s="1" customFormat="1"/>
    <row r="69" spans="1:7" s="1" customFormat="1">
      <c r="A69" s="2" t="s">
        <v>111</v>
      </c>
    </row>
    <row r="70" spans="1:7" s="1" customFormat="1">
      <c r="A70" s="1" t="s">
        <v>112</v>
      </c>
      <c r="B70" s="15">
        <f>B67</f>
        <v>26.256054296136604</v>
      </c>
      <c r="C70" s="1" t="s">
        <v>23</v>
      </c>
    </row>
    <row r="71" spans="1:7" s="1" customFormat="1">
      <c r="A71" s="1" t="s">
        <v>113</v>
      </c>
      <c r="B71" s="22">
        <f>B8</f>
        <v>3.0076063038380531E-3</v>
      </c>
      <c r="C71" s="1" t="s">
        <v>84</v>
      </c>
      <c r="D71" s="5" t="s">
        <v>66</v>
      </c>
    </row>
    <row r="72" spans="1:7" s="1" customFormat="1">
      <c r="A72" s="1" t="s">
        <v>114</v>
      </c>
      <c r="B72" s="22">
        <f>B70-2501*B71/(1.006+1.9*B71)</f>
        <v>18.821127028667064</v>
      </c>
      <c r="C72" s="1" t="s">
        <v>6</v>
      </c>
      <c r="D72" s="5" t="s">
        <v>62</v>
      </c>
    </row>
    <row r="73" spans="1:7" s="1" customFormat="1">
      <c r="A73" s="1" t="s">
        <v>91</v>
      </c>
      <c r="B73" s="4">
        <f>0.0496965*B72^3+0.979515*B72^2+46.9035*B72+609.484</f>
        <v>2170.5705191873585</v>
      </c>
      <c r="C73" s="1" t="s">
        <v>15</v>
      </c>
      <c r="D73" s="5" t="s">
        <v>39</v>
      </c>
    </row>
    <row r="74" spans="1:7" s="1" customFormat="1">
      <c r="A74" s="1" t="s">
        <v>92</v>
      </c>
      <c r="B74" s="4">
        <f>101325*B71/(0.622+B71)</f>
        <v>487.5872</v>
      </c>
      <c r="D74" s="5" t="s">
        <v>66</v>
      </c>
    </row>
    <row r="75" spans="1:7" s="1" customFormat="1">
      <c r="A75" s="1" t="s">
        <v>93</v>
      </c>
      <c r="B75" s="21">
        <f>B74/B73*100</f>
        <v>22.463550282740783</v>
      </c>
      <c r="C75" s="1" t="s">
        <v>11</v>
      </c>
      <c r="D75" s="5" t="s">
        <v>68</v>
      </c>
    </row>
    <row r="76" spans="1:7" s="1" customFormat="1"/>
    <row r="77" spans="1:7" s="1" customFormat="1"/>
    <row r="78" spans="1:7" s="1" customFormat="1">
      <c r="A78" s="2" t="s">
        <v>115</v>
      </c>
    </row>
    <row r="79" spans="1:7" s="1" customFormat="1">
      <c r="A79" s="1" t="s">
        <v>116</v>
      </c>
      <c r="B79" s="21">
        <f>B49*(B70-B9)</f>
        <v>92.792246357098648</v>
      </c>
      <c r="C79" s="1" t="s">
        <v>96</v>
      </c>
    </row>
    <row r="80" spans="1:7" s="1" customFormat="1">
      <c r="B80" s="21"/>
      <c r="G80" s="15"/>
    </row>
    <row r="81" spans="1:7" s="1" customFormat="1">
      <c r="A81" s="2" t="s">
        <v>117</v>
      </c>
      <c r="G81" s="15"/>
    </row>
    <row r="82" spans="1:7" s="1" customFormat="1">
      <c r="A82" s="1" t="s">
        <v>118</v>
      </c>
      <c r="B82" s="21">
        <f>B49*(B36-B67)</f>
        <v>92.505945893009425</v>
      </c>
      <c r="C82" s="1" t="s">
        <v>96</v>
      </c>
      <c r="G82" s="15"/>
    </row>
    <row r="83" spans="1:7" s="1" customFormat="1">
      <c r="B83" s="21"/>
      <c r="G83" s="15"/>
    </row>
    <row r="84" spans="1:7" s="1" customFormat="1">
      <c r="A84" s="2" t="s">
        <v>119</v>
      </c>
      <c r="B84" s="21"/>
      <c r="C84" s="1" t="s">
        <v>96</v>
      </c>
      <c r="G84" s="15"/>
    </row>
    <row r="85" spans="1:7" s="1" customFormat="1">
      <c r="A85" s="1" t="s">
        <v>120</v>
      </c>
      <c r="B85" s="21">
        <f>B79+B82</f>
        <v>185.29819225010806</v>
      </c>
      <c r="C85" s="1" t="s">
        <v>96</v>
      </c>
      <c r="D85" s="1" t="s">
        <v>121</v>
      </c>
      <c r="G85" s="15"/>
    </row>
    <row r="86" spans="1:7" s="1" customFormat="1">
      <c r="B86" s="21"/>
      <c r="G86" s="15"/>
    </row>
    <row r="87" spans="1:7" s="1" customFormat="1">
      <c r="A87" s="2" t="s">
        <v>122</v>
      </c>
      <c r="G87" s="15"/>
    </row>
    <row r="88" spans="1:7" s="1" customFormat="1">
      <c r="A88" s="1" t="s">
        <v>98</v>
      </c>
      <c r="B88" s="8">
        <f>B49*(B63-B71)</f>
        <v>1.9602448071675663E-2</v>
      </c>
      <c r="C88" s="1" t="s">
        <v>54</v>
      </c>
      <c r="D88" s="10">
        <f>B88*3600</f>
        <v>70.56881305803239</v>
      </c>
      <c r="E88" s="1" t="s">
        <v>71</v>
      </c>
    </row>
    <row r="89" spans="1:7" s="1" customFormat="1">
      <c r="D89" s="15"/>
    </row>
    <row r="90" spans="1:7" s="1" customFormat="1"/>
    <row r="91" spans="1:7" s="1" customFormat="1"/>
    <row r="92" spans="1:7" s="1" customFormat="1">
      <c r="A92" s="2"/>
    </row>
    <row r="93" spans="1:7" s="1" customFormat="1">
      <c r="B93" s="25"/>
    </row>
    <row r="94" spans="1:7" s="1" customFormat="1"/>
    <row r="95" spans="1:7" s="1" customFormat="1">
      <c r="B95" s="15"/>
    </row>
    <row r="96" spans="1:7" s="1" customFormat="1">
      <c r="B96" s="15"/>
    </row>
    <row r="97" spans="2:2" s="1" customFormat="1">
      <c r="B97" s="15"/>
    </row>
    <row r="98" spans="2:2" s="1" customFormat="1"/>
    <row r="99" spans="2:2" s="1" customFormat="1"/>
    <row r="100" spans="2:2" s="1" customFormat="1">
      <c r="B100" s="26"/>
    </row>
    <row r="101" spans="2:2" s="1" customFormat="1">
      <c r="B101" s="26"/>
    </row>
    <row r="102" spans="2:2" s="1" customFormat="1">
      <c r="B102" s="9"/>
    </row>
    <row r="103" spans="2:2" s="1" customFormat="1"/>
    <row r="104" spans="2:2" s="1" customFormat="1"/>
    <row r="105" spans="2:2" s="1" customFormat="1"/>
    <row r="140" spans="5:7">
      <c r="E140" s="27"/>
    </row>
    <row r="141" spans="5:7">
      <c r="E141" s="28"/>
    </row>
    <row r="142" spans="5:7">
      <c r="E142" s="28"/>
      <c r="G142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27"/>
  <sheetViews>
    <sheetView zoomScaleNormal="100" workbookViewId="0">
      <selection activeCell="F17" sqref="F17"/>
    </sheetView>
  </sheetViews>
  <sheetFormatPr defaultColWidth="8.6640625"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123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8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32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80</v>
      </c>
      <c r="C6" s="1" t="s">
        <v>11</v>
      </c>
      <c r="D6" s="1" t="s">
        <v>12</v>
      </c>
      <c r="E6" s="3">
        <v>100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3.0076063038380531E-3</v>
      </c>
      <c r="C8" s="1" t="s">
        <v>18</v>
      </c>
      <c r="D8" s="1" t="s">
        <v>19</v>
      </c>
      <c r="E8" s="8">
        <f>E6/1000/(2501+1.9*$B$18)</f>
        <v>3.9385584875935413E-5</v>
      </c>
      <c r="F8" s="1" t="s">
        <v>20</v>
      </c>
      <c r="G8" s="9">
        <f>E8*3600*1000</f>
        <v>141.7881055533675</v>
      </c>
      <c r="H8" s="1" t="s">
        <v>21</v>
      </c>
    </row>
    <row r="9" spans="1:8">
      <c r="A9" s="1" t="s">
        <v>22</v>
      </c>
      <c r="B9" s="10">
        <f>1.006*B5+B8*(2501+1.805*B5)</f>
        <v>7.5220233658989706</v>
      </c>
      <c r="C9" s="1" t="s">
        <v>23</v>
      </c>
      <c r="D9" s="1" t="s">
        <v>24</v>
      </c>
      <c r="E9" s="11">
        <f>E8*E4</f>
        <v>1.2603387160299332E-3</v>
      </c>
      <c r="F9" s="1" t="s">
        <v>20</v>
      </c>
      <c r="G9" s="1"/>
      <c r="H9" s="1"/>
    </row>
    <row r="10" spans="1:8" ht="13.2" customHeight="1">
      <c r="A10" s="1"/>
      <c r="B10" s="1"/>
      <c r="C10" s="1"/>
      <c r="D10" s="12" t="s">
        <v>25</v>
      </c>
      <c r="E10" s="8">
        <f>E9/B33</f>
        <v>2.5445255843700655E-4</v>
      </c>
      <c r="G10" s="6" t="s">
        <v>26</v>
      </c>
    </row>
    <row r="11" spans="1:8" s="1" customFormat="1">
      <c r="A11" s="1" t="s">
        <v>27</v>
      </c>
      <c r="B11" s="3">
        <v>-34880</v>
      </c>
      <c r="C11" s="1" t="s">
        <v>13</v>
      </c>
      <c r="D11" s="1" t="s">
        <v>28</v>
      </c>
      <c r="E11" s="13">
        <f>B21-E10</f>
        <v>7.0020470724308104E-3</v>
      </c>
      <c r="G11" s="6" t="s">
        <v>29</v>
      </c>
    </row>
    <row r="12" spans="1:8" s="1" customFormat="1">
      <c r="A12" s="1" t="s">
        <v>30</v>
      </c>
      <c r="B12" s="3">
        <v>1.1000000000000001</v>
      </c>
      <c r="E12" s="13"/>
      <c r="G12" s="6"/>
    </row>
    <row r="13" spans="1:8" s="1" customFormat="1">
      <c r="A13" s="1" t="s">
        <v>31</v>
      </c>
      <c r="B13" s="3">
        <f>(B11-B12*B11)/B12</f>
        <v>3170.9090909090905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-34880</v>
      </c>
      <c r="C25" s="1" t="s">
        <v>13</v>
      </c>
    </row>
    <row r="26" spans="1:5" s="1" customFormat="1">
      <c r="A26" s="1" t="s">
        <v>47</v>
      </c>
      <c r="B26" s="1">
        <f>B13</f>
        <v>3170.9090909090905</v>
      </c>
      <c r="C26" s="1" t="s">
        <v>13</v>
      </c>
    </row>
    <row r="27" spans="1:5" s="1" customFormat="1">
      <c r="A27" s="17" t="s">
        <v>48</v>
      </c>
      <c r="B27" s="8">
        <f>B25+B26</f>
        <v>-31709.090909090908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1.1000000000000001</v>
      </c>
      <c r="D28" s="18"/>
      <c r="E28" s="15"/>
    </row>
    <row r="29" spans="1:5" s="1" customFormat="1">
      <c r="B29" s="15"/>
    </row>
    <row r="30" spans="1:5" s="1" customFormat="1">
      <c r="A30" s="1" t="s">
        <v>100</v>
      </c>
      <c r="B30" s="3">
        <v>7</v>
      </c>
      <c r="C30" s="1" t="s">
        <v>6</v>
      </c>
    </row>
    <row r="31" spans="1:5" s="1" customFormat="1">
      <c r="A31" s="1" t="s">
        <v>51</v>
      </c>
      <c r="B31" s="19">
        <f>B18+B30</f>
        <v>27</v>
      </c>
      <c r="C31" s="1" t="s">
        <v>6</v>
      </c>
    </row>
    <row r="32" spans="1:5" s="1" customFormat="1">
      <c r="A32" s="1" t="s">
        <v>52</v>
      </c>
      <c r="B32" s="15"/>
    </row>
    <row r="33" spans="1:8" s="1" customFormat="1">
      <c r="A33" s="1" t="s">
        <v>53</v>
      </c>
      <c r="B33" s="15">
        <f>ABS(B25/(1006*(B18-B31)))</f>
        <v>4.9531383129792674</v>
      </c>
      <c r="C33" s="1" t="s">
        <v>54</v>
      </c>
      <c r="D33" s="5" t="s">
        <v>55</v>
      </c>
    </row>
    <row r="34" spans="1:8" s="1" customFormat="1">
      <c r="A34" s="20" t="s">
        <v>56</v>
      </c>
      <c r="B34" s="9">
        <f>B27/B33/1000</f>
        <v>-6.4018181818181814</v>
      </c>
      <c r="C34" s="1" t="s">
        <v>23</v>
      </c>
      <c r="D34" s="5" t="s">
        <v>57</v>
      </c>
    </row>
    <row r="35" spans="1:8" s="1" customFormat="1">
      <c r="A35" s="1" t="s">
        <v>58</v>
      </c>
      <c r="B35" s="15">
        <f>B22-B34</f>
        <v>44.93228339529292</v>
      </c>
      <c r="C35" s="1" t="s">
        <v>23</v>
      </c>
      <c r="D35" s="5" t="s">
        <v>59</v>
      </c>
    </row>
    <row r="36" spans="1:8" s="1" customFormat="1">
      <c r="A36" s="1" t="s">
        <v>28</v>
      </c>
      <c r="B36" s="16">
        <f>(B35-1.006*B31)/(2500+1.9*B31)</f>
        <v>6.9651877063822048E-3</v>
      </c>
      <c r="C36" s="1" t="s">
        <v>60</v>
      </c>
      <c r="D36" s="5" t="s">
        <v>42</v>
      </c>
    </row>
    <row r="37" spans="1:8" s="1" customFormat="1">
      <c r="A37" s="1" t="s">
        <v>58</v>
      </c>
      <c r="B37" s="10">
        <f>(1.006+1.9*B36)*B31+2501*B36</f>
        <v>44.939248582999298</v>
      </c>
      <c r="C37" s="1" t="s">
        <v>61</v>
      </c>
      <c r="D37" s="5" t="s">
        <v>62</v>
      </c>
    </row>
    <row r="38" spans="1:8" s="1" customFormat="1">
      <c r="A38" s="1" t="s">
        <v>63</v>
      </c>
      <c r="B38" s="4">
        <f>0.0496965*$B$31^3+0.979515*$B$31^2+46.9035*$B$31+609.484</f>
        <v>3568.1211445000004</v>
      </c>
      <c r="C38" s="1" t="s">
        <v>15</v>
      </c>
      <c r="D38" s="5" t="s">
        <v>39</v>
      </c>
    </row>
    <row r="39" spans="1:8" s="1" customFormat="1">
      <c r="A39" s="1" t="s">
        <v>64</v>
      </c>
      <c r="B39" s="4">
        <f>101325*B36/(0.622+B36)</f>
        <v>1122.0774347190718</v>
      </c>
      <c r="C39" s="1" t="s">
        <v>65</v>
      </c>
      <c r="D39" s="5" t="s">
        <v>66</v>
      </c>
    </row>
    <row r="40" spans="1:8" s="1" customFormat="1">
      <c r="A40" s="1" t="s">
        <v>67</v>
      </c>
      <c r="B40" s="21">
        <f>B39/B38*100</f>
        <v>31.447290864792322</v>
      </c>
      <c r="C40" s="1" t="s">
        <v>11</v>
      </c>
      <c r="D40" s="5" t="s">
        <v>68</v>
      </c>
    </row>
    <row r="41" spans="1:8" s="1" customFormat="1"/>
    <row r="42" spans="1:8" s="1" customFormat="1">
      <c r="A42" s="2" t="s">
        <v>69</v>
      </c>
    </row>
    <row r="43" spans="1:8" s="1" customFormat="1">
      <c r="A43" s="1" t="s">
        <v>70</v>
      </c>
      <c r="B43" s="1">
        <v>7</v>
      </c>
      <c r="C43" s="1" t="s">
        <v>8</v>
      </c>
      <c r="D43" s="1">
        <f>B43*3.6</f>
        <v>25.2</v>
      </c>
      <c r="E43" s="1" t="s">
        <v>9</v>
      </c>
      <c r="F43" s="1">
        <f>1.2*D43</f>
        <v>30.24</v>
      </c>
      <c r="G43" s="1" t="s">
        <v>71</v>
      </c>
      <c r="H43" s="22">
        <f>F43/3600</f>
        <v>8.3999999999999995E-3</v>
      </c>
    </row>
    <row r="44" spans="1:8" s="1" customFormat="1">
      <c r="A44" s="1" t="s">
        <v>72</v>
      </c>
      <c r="B44" s="1">
        <f>E4</f>
        <v>32</v>
      </c>
    </row>
    <row r="45" spans="1:8" s="1" customFormat="1">
      <c r="A45" s="1" t="s">
        <v>73</v>
      </c>
      <c r="B45" s="8">
        <f>B44*H43</f>
        <v>0.26879999999999998</v>
      </c>
      <c r="C45" s="1" t="s">
        <v>74</v>
      </c>
    </row>
    <row r="46" spans="1:8" s="1" customFormat="1"/>
    <row r="47" spans="1:8" s="1" customFormat="1">
      <c r="A47" s="1" t="s">
        <v>75</v>
      </c>
    </row>
    <row r="48" spans="1:8" s="1" customFormat="1">
      <c r="A48" s="1" t="s">
        <v>76</v>
      </c>
      <c r="B48" s="23">
        <f>B33</f>
        <v>4.9531383129792674</v>
      </c>
      <c r="C48" s="1" t="s">
        <v>74</v>
      </c>
    </row>
    <row r="49" spans="1:4" s="1" customFormat="1">
      <c r="A49" s="1" t="s">
        <v>77</v>
      </c>
      <c r="B49" s="24">
        <f>B48*0</f>
        <v>0</v>
      </c>
      <c r="C49" s="1" t="s">
        <v>74</v>
      </c>
    </row>
    <row r="50" spans="1:4" s="1" customFormat="1">
      <c r="A50" s="1" t="s">
        <v>78</v>
      </c>
      <c r="B50" s="24">
        <f>B48-B49</f>
        <v>4.9531383129792674</v>
      </c>
      <c r="C50" s="1" t="s">
        <v>79</v>
      </c>
    </row>
    <row r="51" spans="1:4" s="1" customFormat="1"/>
    <row r="52" spans="1:4" s="1" customFormat="1">
      <c r="A52" s="2" t="s">
        <v>80</v>
      </c>
    </row>
    <row r="53" spans="1:4" s="1" customFormat="1">
      <c r="A53" s="1" t="s">
        <v>81</v>
      </c>
      <c r="B53" s="21">
        <f>(B5*$B$50+B18*$B$49)/$B$48</f>
        <v>0</v>
      </c>
      <c r="C53" s="1" t="s">
        <v>6</v>
      </c>
    </row>
    <row r="54" spans="1:4" s="1" customFormat="1">
      <c r="A54" s="1" t="s">
        <v>82</v>
      </c>
      <c r="B54" s="21">
        <f>(B9*$B$50+B22*$B$49)/$B$48</f>
        <v>7.5220233658989706</v>
      </c>
      <c r="C54" s="1" t="s">
        <v>23</v>
      </c>
    </row>
    <row r="55" spans="1:4" s="1" customFormat="1">
      <c r="A55" s="1" t="s">
        <v>83</v>
      </c>
      <c r="B55" s="7">
        <f>(B8*$B$50+B21*$B$49)/$B$48</f>
        <v>3.0076063038380531E-3</v>
      </c>
      <c r="C55" s="1" t="s">
        <v>84</v>
      </c>
    </row>
    <row r="56" spans="1:4" s="1" customFormat="1">
      <c r="A56" s="1" t="s">
        <v>63</v>
      </c>
      <c r="B56" s="4">
        <f>0.0496965*B53^3+0.979515*B53^2+46.9035*B53+609.484</f>
        <v>609.48400000000004</v>
      </c>
      <c r="C56" s="1" t="s">
        <v>15</v>
      </c>
    </row>
    <row r="57" spans="1:4" s="1" customFormat="1">
      <c r="A57" s="1" t="s">
        <v>85</v>
      </c>
      <c r="B57" s="4">
        <f>101325*B55/(0.622+B55)</f>
        <v>487.5872</v>
      </c>
      <c r="C57" s="1" t="s">
        <v>15</v>
      </c>
    </row>
    <row r="58" spans="1:4" s="1" customFormat="1">
      <c r="A58" s="1" t="s">
        <v>86</v>
      </c>
      <c r="B58" s="21">
        <f>B57/B56*100</f>
        <v>80</v>
      </c>
      <c r="C58" s="1" t="s">
        <v>11</v>
      </c>
    </row>
    <row r="59" spans="1:4" s="1" customFormat="1"/>
    <row r="60" spans="1:4" s="1" customFormat="1">
      <c r="A60" s="2" t="s">
        <v>124</v>
      </c>
    </row>
    <row r="61" spans="1:4" s="1" customFormat="1">
      <c r="A61" s="1" t="s">
        <v>125</v>
      </c>
      <c r="B61" s="15">
        <f>B31</f>
        <v>27</v>
      </c>
      <c r="C61" s="1" t="s">
        <v>6</v>
      </c>
    </row>
    <row r="62" spans="1:4" s="1" customFormat="1">
      <c r="A62" s="1" t="s">
        <v>89</v>
      </c>
      <c r="B62" s="22">
        <f>B8</f>
        <v>3.0076063038380531E-3</v>
      </c>
      <c r="C62" s="1" t="s">
        <v>84</v>
      </c>
      <c r="D62" s="5" t="s">
        <v>66</v>
      </c>
    </row>
    <row r="63" spans="1:4" s="1" customFormat="1">
      <c r="A63" s="1" t="s">
        <v>126</v>
      </c>
      <c r="B63" s="22">
        <f>(1.006+1.9*B62)*B61+2501*B62</f>
        <v>34.838313569285859</v>
      </c>
      <c r="C63" s="1" t="s">
        <v>23</v>
      </c>
      <c r="D63" s="5" t="s">
        <v>62</v>
      </c>
    </row>
    <row r="64" spans="1:4" s="1" customFormat="1">
      <c r="A64" s="1" t="s">
        <v>91</v>
      </c>
      <c r="B64" s="4">
        <f>0.0496965*B61^3+0.979515*B61^2+46.9035*B61+609.484</f>
        <v>3568.1211445000004</v>
      </c>
      <c r="C64" s="1" t="s">
        <v>15</v>
      </c>
      <c r="D64" s="5" t="s">
        <v>39</v>
      </c>
    </row>
    <row r="65" spans="1:7" s="1" customFormat="1">
      <c r="A65" s="1" t="s">
        <v>92</v>
      </c>
      <c r="B65" s="4">
        <f>101325*B62/(0.622+B62)</f>
        <v>487.5872</v>
      </c>
      <c r="D65" s="5" t="s">
        <v>66</v>
      </c>
    </row>
    <row r="66" spans="1:7" s="1" customFormat="1">
      <c r="A66" s="1" t="s">
        <v>93</v>
      </c>
      <c r="B66" s="21">
        <f>B65/B64*100</f>
        <v>13.665096566342214</v>
      </c>
      <c r="C66" s="1" t="s">
        <v>11</v>
      </c>
      <c r="D66" s="5" t="s">
        <v>68</v>
      </c>
    </row>
    <row r="67" spans="1:7" s="1" customFormat="1"/>
    <row r="68" spans="1:7" s="1" customFormat="1"/>
    <row r="69" spans="1:7" s="1" customFormat="1">
      <c r="A69" s="2" t="s">
        <v>127</v>
      </c>
    </row>
    <row r="70" spans="1:7" s="1" customFormat="1">
      <c r="A70" s="1" t="s">
        <v>95</v>
      </c>
      <c r="B70" s="21">
        <f>B48*(B63-B9)</f>
        <v>135.30136357485583</v>
      </c>
      <c r="C70" s="1" t="s">
        <v>96</v>
      </c>
    </row>
    <row r="71" spans="1:7" s="1" customFormat="1">
      <c r="B71" s="21"/>
      <c r="G71" s="15"/>
    </row>
    <row r="72" spans="1:7" s="1" customFormat="1">
      <c r="A72" s="2" t="s">
        <v>128</v>
      </c>
      <c r="G72" s="15"/>
    </row>
    <row r="73" spans="1:7" s="1" customFormat="1">
      <c r="A73" s="1" t="s">
        <v>98</v>
      </c>
      <c r="B73" s="8">
        <f>B48*(B36-B62)</f>
        <v>1.9602448071675663E-2</v>
      </c>
      <c r="C73" s="1" t="s">
        <v>54</v>
      </c>
      <c r="D73" s="10">
        <f>B73*3600</f>
        <v>70.56881305803239</v>
      </c>
      <c r="E73" s="1" t="s">
        <v>71</v>
      </c>
    </row>
    <row r="74" spans="1:7" s="1" customFormat="1">
      <c r="D74" s="15"/>
    </row>
    <row r="75" spans="1:7" s="1" customFormat="1"/>
    <row r="76" spans="1:7" s="1" customFormat="1"/>
    <row r="77" spans="1:7" s="1" customFormat="1">
      <c r="A77" s="2"/>
    </row>
    <row r="78" spans="1:7" s="1" customFormat="1">
      <c r="B78" s="25"/>
    </row>
    <row r="79" spans="1:7" s="1" customFormat="1"/>
    <row r="80" spans="1:7" s="1" customFormat="1">
      <c r="B80" s="15"/>
    </row>
    <row r="81" spans="2:2" s="1" customFormat="1">
      <c r="B81" s="15"/>
    </row>
    <row r="82" spans="2:2" s="1" customFormat="1">
      <c r="B82" s="15"/>
    </row>
    <row r="83" spans="2:2" s="1" customFormat="1"/>
    <row r="84" spans="2:2" s="1" customFormat="1"/>
    <row r="85" spans="2:2" s="1" customFormat="1">
      <c r="B85" s="26"/>
    </row>
    <row r="86" spans="2:2" s="1" customFormat="1">
      <c r="B86" s="26"/>
    </row>
    <row r="87" spans="2:2" s="1" customFormat="1">
      <c r="B87" s="9"/>
    </row>
    <row r="88" spans="2:2" s="1" customFormat="1"/>
    <row r="89" spans="2:2" s="1" customFormat="1"/>
    <row r="90" spans="2:2" s="1" customFormat="1"/>
    <row r="125" spans="5:7">
      <c r="E125" s="27"/>
    </row>
    <row r="126" spans="5:7">
      <c r="E126" s="28"/>
    </row>
    <row r="127" spans="5:7">
      <c r="E127" s="28"/>
      <c r="G127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B11" sqref="B11"/>
    </sheetView>
  </sheetViews>
  <sheetFormatPr defaultColWidth="8.6640625"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0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8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45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90</v>
      </c>
      <c r="C6" s="1" t="s">
        <v>11</v>
      </c>
      <c r="D6" s="1" t="s">
        <v>12</v>
      </c>
      <c r="E6" s="3">
        <v>55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3.3856034266667528E-3</v>
      </c>
      <c r="C8" s="1" t="s">
        <v>18</v>
      </c>
      <c r="D8" s="1" t="s">
        <v>19</v>
      </c>
      <c r="E8" s="8">
        <f>E6/1000/(2501+1.9*$B$18)</f>
        <v>2.1662071681764474E-5</v>
      </c>
      <c r="F8" s="1" t="s">
        <v>20</v>
      </c>
      <c r="G8" s="9">
        <f>E8*3600*1000</f>
        <v>77.983458054352113</v>
      </c>
      <c r="H8" s="1" t="s">
        <v>21</v>
      </c>
    </row>
    <row r="9" spans="1:8">
      <c r="A9" s="1" t="s">
        <v>22</v>
      </c>
      <c r="B9" s="10">
        <f>1.006*B5+B8*(2501+1.805*B5)</f>
        <v>8.4673941700935487</v>
      </c>
      <c r="C9" s="1" t="s">
        <v>23</v>
      </c>
      <c r="D9" s="1" t="s">
        <v>24</v>
      </c>
      <c r="E9" s="11">
        <f>E8*E4</f>
        <v>9.7479322567940133E-4</v>
      </c>
      <c r="F9" s="1" t="s">
        <v>20</v>
      </c>
      <c r="G9" s="1"/>
      <c r="H9" s="1"/>
    </row>
    <row r="10" spans="1:8" ht="13.2" customHeight="1">
      <c r="A10" s="1"/>
      <c r="B10" s="1"/>
      <c r="C10" s="1"/>
      <c r="D10" s="12" t="s">
        <v>25</v>
      </c>
      <c r="E10" s="8">
        <f>E9/B34</f>
        <v>6.5050877945836E-4</v>
      </c>
      <c r="G10" s="6" t="s">
        <v>26</v>
      </c>
    </row>
    <row r="11" spans="1:8" s="1" customFormat="1">
      <c r="A11" s="1" t="s">
        <v>27</v>
      </c>
      <c r="B11" s="3">
        <f>-18000+65*E4</f>
        <v>-15075</v>
      </c>
      <c r="C11" s="1" t="s">
        <v>13</v>
      </c>
      <c r="D11" s="1" t="s">
        <v>28</v>
      </c>
      <c r="E11" s="13">
        <f>B21-E10</f>
        <v>6.6059908514094568E-3</v>
      </c>
      <c r="G11" s="6" t="s">
        <v>29</v>
      </c>
    </row>
    <row r="12" spans="1:8" s="1" customFormat="1">
      <c r="A12" s="1" t="s">
        <v>30</v>
      </c>
      <c r="B12" s="30">
        <f>B11/(B11+B13)</f>
        <v>1.1964285714285714</v>
      </c>
      <c r="E12" s="13"/>
      <c r="G12" s="6"/>
    </row>
    <row r="13" spans="1:8" s="1" customFormat="1">
      <c r="A13" s="1" t="s">
        <v>31</v>
      </c>
      <c r="B13" s="14">
        <f>E4*E6</f>
        <v>2475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-15075</v>
      </c>
      <c r="C25" s="1" t="s">
        <v>13</v>
      </c>
    </row>
    <row r="26" spans="1:5" s="1" customFormat="1">
      <c r="A26" s="1" t="s">
        <v>47</v>
      </c>
      <c r="B26" s="9">
        <f>B13</f>
        <v>2475</v>
      </c>
      <c r="C26" s="1" t="s">
        <v>13</v>
      </c>
    </row>
    <row r="27" spans="1:5" s="1" customFormat="1">
      <c r="A27" s="17" t="s">
        <v>48</v>
      </c>
      <c r="B27" s="8">
        <f>B25+B26</f>
        <v>-12600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1.1964285714285714</v>
      </c>
      <c r="D28" s="18"/>
      <c r="E28" s="15"/>
    </row>
    <row r="29" spans="1:5" s="1" customFormat="1">
      <c r="B29" s="15"/>
    </row>
    <row r="30" spans="1:5" s="1" customFormat="1">
      <c r="A30" s="1" t="s">
        <v>50</v>
      </c>
      <c r="B30" s="3">
        <v>10</v>
      </c>
      <c r="C30" s="1" t="s">
        <v>6</v>
      </c>
    </row>
    <row r="31" spans="1:5" s="1" customFormat="1">
      <c r="A31" s="1" t="s">
        <v>51</v>
      </c>
      <c r="B31" s="19">
        <f>B18+B30</f>
        <v>30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1.4985089463220675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-8.4083582089552245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46.938823422429962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6.5540959806139861E-3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46.945377518410581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4239.9579999999996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1056.5419579354618</v>
      </c>
      <c r="C40" s="1" t="s">
        <v>65</v>
      </c>
      <c r="D40" s="5" t="s">
        <v>66</v>
      </c>
    </row>
    <row r="41" spans="1:8" s="1" customFormat="1">
      <c r="A41" s="1" t="s">
        <v>67</v>
      </c>
      <c r="B41" s="21">
        <f>B40/B39*100</f>
        <v>24.918689240210913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45</v>
      </c>
    </row>
    <row r="46" spans="1:8" s="1" customFormat="1">
      <c r="A46" s="1" t="s">
        <v>73</v>
      </c>
      <c r="B46" s="8">
        <f>B45*H44</f>
        <v>0.378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1.4985089463220675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1.4985089463220675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8.4673941700935487</v>
      </c>
      <c r="C55" s="1" t="s">
        <v>23</v>
      </c>
    </row>
    <row r="56" spans="1:4" s="1" customFormat="1">
      <c r="A56" s="1" t="s">
        <v>83</v>
      </c>
      <c r="B56" s="7">
        <f>(B8*$B$51+B21*$B$50)/$B$49</f>
        <v>3.3856034266667528E-3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548.53560000000004</v>
      </c>
      <c r="C58" s="1" t="s">
        <v>15</v>
      </c>
    </row>
    <row r="59" spans="1:4" s="1" customFormat="1">
      <c r="A59" s="1" t="s">
        <v>86</v>
      </c>
      <c r="B59" s="21">
        <f>B58/B57*100</f>
        <v>90</v>
      </c>
      <c r="C59" s="1" t="s">
        <v>11</v>
      </c>
    </row>
    <row r="60" spans="1:4" s="1" customFormat="1"/>
    <row r="61" spans="1:4" s="1" customFormat="1">
      <c r="A61" s="2" t="s">
        <v>87</v>
      </c>
    </row>
    <row r="62" spans="1:4" s="1" customFormat="1">
      <c r="A62" s="1" t="s">
        <v>88</v>
      </c>
      <c r="B62" s="15">
        <f>B36</f>
        <v>46.938823422429962</v>
      </c>
      <c r="C62" s="1" t="s">
        <v>23</v>
      </c>
    </row>
    <row r="63" spans="1:4" s="1" customFormat="1">
      <c r="A63" s="1" t="s">
        <v>89</v>
      </c>
      <c r="B63" s="22">
        <f>B8</f>
        <v>3.3856034266667528E-3</v>
      </c>
      <c r="C63" s="1" t="s">
        <v>84</v>
      </c>
      <c r="D63" s="5" t="s">
        <v>66</v>
      </c>
    </row>
    <row r="64" spans="1:4" s="1" customFormat="1">
      <c r="A64" s="1" t="s">
        <v>90</v>
      </c>
      <c r="B64" s="22">
        <f>B62-2501*B63/(1.006+1.9*B63)</f>
        <v>38.575408632047321</v>
      </c>
      <c r="C64" s="1" t="s">
        <v>6</v>
      </c>
      <c r="D64" s="5" t="s">
        <v>62</v>
      </c>
    </row>
    <row r="65" spans="1:7" s="1" customFormat="1">
      <c r="A65" s="1" t="s">
        <v>91</v>
      </c>
      <c r="B65" s="4">
        <f>0.0496965*B64^3+0.979515*B64^2+46.9035*B64+609.484</f>
        <v>6729.0934634374998</v>
      </c>
      <c r="C65" s="1" t="s">
        <v>15</v>
      </c>
      <c r="D65" s="5" t="s">
        <v>39</v>
      </c>
    </row>
    <row r="66" spans="1:7" s="1" customFormat="1">
      <c r="A66" s="1" t="s">
        <v>92</v>
      </c>
      <c r="B66" s="4">
        <f>101325*B63/(0.622+B63)</f>
        <v>548.53560000000004</v>
      </c>
      <c r="D66" s="5" t="s">
        <v>66</v>
      </c>
    </row>
    <row r="67" spans="1:7" s="1" customFormat="1">
      <c r="A67" s="1" t="s">
        <v>93</v>
      </c>
      <c r="B67" s="21">
        <f>B66/B65*100</f>
        <v>8.1517013098490292</v>
      </c>
      <c r="C67" s="1" t="s">
        <v>11</v>
      </c>
      <c r="D67" s="5" t="s">
        <v>68</v>
      </c>
    </row>
    <row r="68" spans="1:7" s="1" customFormat="1"/>
    <row r="69" spans="1:7" s="1" customFormat="1"/>
    <row r="70" spans="1:7" s="1" customFormat="1">
      <c r="A70" s="2" t="s">
        <v>94</v>
      </c>
    </row>
    <row r="71" spans="1:7" s="1" customFormat="1">
      <c r="A71" s="1" t="s">
        <v>95</v>
      </c>
      <c r="B71" s="21">
        <f>B49*(B62-B9)</f>
        <v>57.649780912422607</v>
      </c>
      <c r="C71" s="1" t="s">
        <v>96</v>
      </c>
    </row>
    <row r="72" spans="1:7" s="1" customFormat="1">
      <c r="B72" s="21"/>
      <c r="G72" s="15"/>
    </row>
    <row r="73" spans="1:7" s="1" customFormat="1">
      <c r="A73" s="2" t="s">
        <v>97</v>
      </c>
      <c r="G73" s="15"/>
    </row>
    <row r="74" spans="1:7" s="1" customFormat="1">
      <c r="A74" s="1" t="s">
        <v>98</v>
      </c>
      <c r="B74" s="8">
        <f>B49*(B37-B63)</f>
        <v>4.7480144384447857E-3</v>
      </c>
      <c r="C74" s="1" t="s">
        <v>54</v>
      </c>
      <c r="D74" s="10">
        <f>B74*3600</f>
        <v>17.092851978401228</v>
      </c>
      <c r="E74" s="1" t="s">
        <v>71</v>
      </c>
    </row>
    <row r="75" spans="1:7" s="1" customFormat="1">
      <c r="D75" s="15"/>
    </row>
    <row r="76" spans="1:7" s="1" customFormat="1"/>
    <row r="77" spans="1:7" s="1" customFormat="1"/>
    <row r="78" spans="1:7" s="1" customFormat="1">
      <c r="A78" s="2"/>
    </row>
    <row r="79" spans="1:7" s="1" customFormat="1">
      <c r="B79" s="25"/>
    </row>
    <row r="80" spans="1:7" s="1" customFormat="1"/>
    <row r="81" spans="2:2" s="1" customFormat="1">
      <c r="B81" s="15"/>
    </row>
    <row r="82" spans="2:2" s="1" customFormat="1">
      <c r="B82" s="15"/>
    </row>
    <row r="83" spans="2:2" s="1" customFormat="1">
      <c r="B83" s="15"/>
    </row>
    <row r="84" spans="2:2" s="1" customFormat="1"/>
    <row r="85" spans="2:2" s="1" customFormat="1"/>
    <row r="86" spans="2:2" s="1" customFormat="1">
      <c r="B86" s="26"/>
    </row>
    <row r="87" spans="2:2" s="1" customFormat="1">
      <c r="B87" s="26"/>
    </row>
    <row r="88" spans="2:2" s="1" customFormat="1">
      <c r="B88" s="9"/>
    </row>
    <row r="89" spans="2:2" s="1" customFormat="1"/>
    <row r="90" spans="2:2" s="1" customFormat="1"/>
    <row r="91" spans="2:2" s="1" customFormat="1"/>
    <row r="126" spans="5:7">
      <c r="E126" s="27"/>
    </row>
    <row r="127" spans="5:7">
      <c r="E127" s="28"/>
    </row>
    <row r="128" spans="5:7">
      <c r="E128" s="28"/>
      <c r="G128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28"/>
  <sheetViews>
    <sheetView topLeftCell="A10" zoomScaleNormal="100" workbookViewId="0">
      <selection activeCell="H44" sqref="H44"/>
    </sheetView>
  </sheetViews>
  <sheetFormatPr defaultColWidth="8.6640625"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129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8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45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130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90</v>
      </c>
      <c r="C6" s="1" t="s">
        <v>11</v>
      </c>
      <c r="D6" s="1" t="s">
        <v>131</v>
      </c>
      <c r="E6">
        <f>E5/1000*1.2*E4</f>
        <v>0.378</v>
      </c>
      <c r="F6" s="1" t="s">
        <v>54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1" t="s">
        <v>12</v>
      </c>
      <c r="E7" s="3">
        <v>95</v>
      </c>
      <c r="F7" s="1" t="s">
        <v>13</v>
      </c>
      <c r="G7" s="1"/>
      <c r="H7" s="1"/>
    </row>
    <row r="8" spans="1:8">
      <c r="A8" s="1" t="s">
        <v>17</v>
      </c>
      <c r="B8" s="7">
        <f>0.622*B6/100*B7/(101325-B6/100*B7)</f>
        <v>3.3856034266667528E-3</v>
      </c>
      <c r="C8" s="1" t="s">
        <v>18</v>
      </c>
      <c r="D8" s="1" t="s">
        <v>132</v>
      </c>
      <c r="E8" s="3">
        <v>90</v>
      </c>
      <c r="F8" s="1" t="s">
        <v>13</v>
      </c>
      <c r="G8" s="1"/>
      <c r="H8" s="1"/>
    </row>
    <row r="9" spans="1:8">
      <c r="A9" s="1" t="s">
        <v>22</v>
      </c>
      <c r="B9" s="10">
        <f>1.006*B5+B8*(2501+1.805*B5)</f>
        <v>8.4673941700935487</v>
      </c>
      <c r="C9" s="1" t="s">
        <v>23</v>
      </c>
      <c r="D9" s="5" t="s">
        <v>16</v>
      </c>
      <c r="E9" s="6"/>
      <c r="F9" s="6"/>
      <c r="G9" s="1"/>
      <c r="H9" s="1"/>
    </row>
    <row r="10" spans="1:8" ht="13.2" customHeight="1">
      <c r="A10" s="1"/>
      <c r="B10" s="1"/>
      <c r="C10" s="1"/>
      <c r="D10" s="1" t="s">
        <v>19</v>
      </c>
      <c r="E10" s="8">
        <f>E7/1000/(2501+1.9*$B$18)</f>
        <v>3.7416305632138639E-5</v>
      </c>
      <c r="F10" s="1" t="s">
        <v>20</v>
      </c>
      <c r="G10" s="9">
        <f>E10*3600*1000</f>
        <v>134.69870027569911</v>
      </c>
      <c r="H10" s="1" t="s">
        <v>21</v>
      </c>
    </row>
    <row r="11" spans="1:8" s="1" customFormat="1">
      <c r="A11" s="1" t="s">
        <v>133</v>
      </c>
      <c r="B11" s="3">
        <f>-18000+E8*E4</f>
        <v>-13950</v>
      </c>
      <c r="C11" s="1" t="s">
        <v>13</v>
      </c>
      <c r="D11" s="1" t="s">
        <v>24</v>
      </c>
      <c r="E11" s="11">
        <f>E10*E4</f>
        <v>1.6837337534462388E-3</v>
      </c>
      <c r="F11" s="1" t="s">
        <v>20</v>
      </c>
    </row>
    <row r="12" spans="1:8" s="1" customFormat="1">
      <c r="A12" s="1" t="s">
        <v>134</v>
      </c>
      <c r="B12" s="14">
        <f>E4*E7</f>
        <v>4275</v>
      </c>
      <c r="C12" s="1" t="s">
        <v>13</v>
      </c>
      <c r="D12" s="12" t="s">
        <v>25</v>
      </c>
      <c r="E12" s="8">
        <f>E11/B34</f>
        <v>1.2142194666429507E-3</v>
      </c>
      <c r="G12" s="6" t="s">
        <v>26</v>
      </c>
    </row>
    <row r="13" spans="1:8" s="1" customFormat="1">
      <c r="A13" s="1" t="s">
        <v>30</v>
      </c>
      <c r="B13" s="30">
        <f>B11/(B11+B12)</f>
        <v>1.441860465116279</v>
      </c>
      <c r="D13" s="1" t="s">
        <v>28</v>
      </c>
      <c r="E13" s="13">
        <f>B21-E12</f>
        <v>6.042280164224866E-3</v>
      </c>
      <c r="G13" s="6" t="s">
        <v>29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-13950</v>
      </c>
      <c r="C25" s="1" t="s">
        <v>13</v>
      </c>
    </row>
    <row r="26" spans="1:5" s="1" customFormat="1">
      <c r="A26" s="1" t="s">
        <v>47</v>
      </c>
      <c r="B26" s="9">
        <f>B12</f>
        <v>4275</v>
      </c>
      <c r="C26" s="1" t="s">
        <v>13</v>
      </c>
    </row>
    <row r="27" spans="1:5" s="1" customFormat="1">
      <c r="A27" s="17" t="s">
        <v>48</v>
      </c>
      <c r="B27" s="8">
        <f>B25+B26</f>
        <v>-9675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1.441860465116279</v>
      </c>
      <c r="D28" s="18"/>
      <c r="E28" s="15"/>
    </row>
    <row r="29" spans="1:5" s="1" customFormat="1">
      <c r="B29" s="15"/>
    </row>
    <row r="30" spans="1:5" s="1" customFormat="1">
      <c r="A30" s="1" t="s">
        <v>50</v>
      </c>
      <c r="B30" s="3">
        <v>10</v>
      </c>
      <c r="C30" s="1" t="s">
        <v>6</v>
      </c>
    </row>
    <row r="31" spans="1:5" s="1" customFormat="1">
      <c r="A31" s="1" t="s">
        <v>51</v>
      </c>
      <c r="B31" s="19">
        <f>B18+B30</f>
        <v>30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1.3866799204771372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-6.9770967741935479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45.507561987668289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5.994353534481146E-3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45.513556341202772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4239.9579999999996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967.17091238616194</v>
      </c>
      <c r="C40" s="1" t="s">
        <v>65</v>
      </c>
      <c r="D40" s="5" t="s">
        <v>66</v>
      </c>
    </row>
    <row r="41" spans="1:8" s="1" customFormat="1">
      <c r="A41" s="1" t="s">
        <v>67</v>
      </c>
      <c r="B41" s="21">
        <f>B40/B39*100</f>
        <v>22.810860682727565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45</v>
      </c>
    </row>
    <row r="46" spans="1:8" s="1" customFormat="1">
      <c r="A46" s="1" t="s">
        <v>73</v>
      </c>
      <c r="B46" s="8">
        <f>B45*H44</f>
        <v>0.378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1.3866799204771372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1.3866799204771372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8.4673941700935487</v>
      </c>
      <c r="C55" s="1" t="s">
        <v>23</v>
      </c>
    </row>
    <row r="56" spans="1:4" s="1" customFormat="1">
      <c r="A56" s="1" t="s">
        <v>83</v>
      </c>
      <c r="B56" s="7">
        <f>(B8*$B$51+B21*$B$50)/$B$49</f>
        <v>3.3856034266667523E-3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548.53559999999993</v>
      </c>
      <c r="C58" s="1" t="s">
        <v>15</v>
      </c>
    </row>
    <row r="59" spans="1:4" s="1" customFormat="1">
      <c r="A59" s="1" t="s">
        <v>86</v>
      </c>
      <c r="B59" s="21">
        <f>B58/B57*100</f>
        <v>89.999999999999986</v>
      </c>
      <c r="C59" s="1" t="s">
        <v>11</v>
      </c>
    </row>
    <row r="60" spans="1:4" s="1" customFormat="1"/>
    <row r="61" spans="1:4" s="1" customFormat="1">
      <c r="A61" s="2" t="s">
        <v>87</v>
      </c>
    </row>
    <row r="62" spans="1:4" s="1" customFormat="1">
      <c r="A62" s="1" t="s">
        <v>88</v>
      </c>
      <c r="B62" s="15">
        <f>B36</f>
        <v>45.507561987668289</v>
      </c>
      <c r="C62" s="1" t="s">
        <v>23</v>
      </c>
    </row>
    <row r="63" spans="1:4" s="1" customFormat="1">
      <c r="A63" s="1" t="s">
        <v>89</v>
      </c>
      <c r="B63" s="22">
        <f>B8</f>
        <v>3.3856034266667528E-3</v>
      </c>
      <c r="C63" s="1" t="s">
        <v>84</v>
      </c>
      <c r="D63" s="5" t="s">
        <v>66</v>
      </c>
    </row>
    <row r="64" spans="1:4" s="1" customFormat="1">
      <c r="A64" s="1" t="s">
        <v>90</v>
      </c>
      <c r="B64" s="22">
        <f>B62-2501*B63/(1.006+1.9*B63)</f>
        <v>37.144147197285648</v>
      </c>
      <c r="C64" s="1" t="s">
        <v>6</v>
      </c>
      <c r="D64" s="5" t="s">
        <v>62</v>
      </c>
    </row>
    <row r="65" spans="1:7" s="1" customFormat="1">
      <c r="A65" s="1" t="s">
        <v>91</v>
      </c>
      <c r="B65" s="4">
        <f>0.0496965*B64^3+0.979515*B64^2+46.9035*B64+609.484</f>
        <v>6249.9118118530005</v>
      </c>
      <c r="C65" s="1" t="s">
        <v>15</v>
      </c>
      <c r="D65" s="5" t="s">
        <v>39</v>
      </c>
    </row>
    <row r="66" spans="1:7" s="1" customFormat="1">
      <c r="A66" s="1" t="s">
        <v>92</v>
      </c>
      <c r="B66" s="4">
        <f>101325*B63/(0.622+B63)</f>
        <v>548.53560000000004</v>
      </c>
      <c r="D66" s="5" t="s">
        <v>66</v>
      </c>
    </row>
    <row r="67" spans="1:7" s="1" customFormat="1">
      <c r="A67" s="1" t="s">
        <v>93</v>
      </c>
      <c r="B67" s="21">
        <f>B66/B65*100</f>
        <v>8.7766934400530037</v>
      </c>
      <c r="C67" s="1" t="s">
        <v>11</v>
      </c>
      <c r="D67" s="5" t="s">
        <v>68</v>
      </c>
    </row>
    <row r="68" spans="1:7" s="1" customFormat="1"/>
    <row r="69" spans="1:7" s="1" customFormat="1"/>
    <row r="70" spans="1:7" s="1" customFormat="1">
      <c r="A70" s="2" t="s">
        <v>94</v>
      </c>
    </row>
    <row r="71" spans="1:7" s="1" customFormat="1">
      <c r="A71" s="1" t="s">
        <v>95</v>
      </c>
      <c r="B71" s="21">
        <f>B49*(B62-B9)</f>
        <v>51.362856963734359</v>
      </c>
      <c r="C71" s="1" t="s">
        <v>96</v>
      </c>
    </row>
    <row r="72" spans="1:7" s="1" customFormat="1">
      <c r="B72" s="21"/>
      <c r="G72" s="15"/>
    </row>
    <row r="73" spans="1:7" s="1" customFormat="1">
      <c r="A73" s="2" t="s">
        <v>97</v>
      </c>
      <c r="G73" s="15"/>
    </row>
    <row r="74" spans="1:7" s="1" customFormat="1">
      <c r="A74" s="1" t="s">
        <v>98</v>
      </c>
      <c r="B74" s="8">
        <f>B49*(B37-B63)</f>
        <v>3.6175013920487858E-3</v>
      </c>
      <c r="C74" s="1" t="s">
        <v>54</v>
      </c>
      <c r="D74" s="10">
        <f>B74*3600</f>
        <v>13.023005011375629</v>
      </c>
      <c r="E74" s="1" t="s">
        <v>71</v>
      </c>
    </row>
    <row r="75" spans="1:7" s="1" customFormat="1">
      <c r="D75" s="15"/>
    </row>
    <row r="76" spans="1:7" s="1" customFormat="1"/>
    <row r="77" spans="1:7" s="1" customFormat="1"/>
    <row r="78" spans="1:7" s="1" customFormat="1">
      <c r="A78" s="2"/>
    </row>
    <row r="79" spans="1:7" s="1" customFormat="1">
      <c r="B79" s="25"/>
    </row>
    <row r="80" spans="1:7" s="1" customFormat="1"/>
    <row r="81" spans="2:2" s="1" customFormat="1">
      <c r="B81" s="15"/>
    </row>
    <row r="82" spans="2:2" s="1" customFormat="1">
      <c r="B82" s="15"/>
    </row>
    <row r="83" spans="2:2" s="1" customFormat="1">
      <c r="B83" s="15"/>
    </row>
    <row r="84" spans="2:2" s="1" customFormat="1"/>
    <row r="85" spans="2:2" s="1" customFormat="1"/>
    <row r="86" spans="2:2" s="1" customFormat="1">
      <c r="B86" s="26"/>
    </row>
    <row r="87" spans="2:2" s="1" customFormat="1">
      <c r="B87" s="26"/>
    </row>
    <row r="88" spans="2:2" s="1" customFormat="1">
      <c r="B88" s="9"/>
    </row>
    <row r="89" spans="2:2" s="1" customFormat="1"/>
    <row r="90" spans="2:2" s="1" customFormat="1"/>
    <row r="91" spans="2:2" s="1" customFormat="1"/>
    <row r="126" spans="5:7">
      <c r="E126" s="27"/>
    </row>
    <row r="127" spans="5:7">
      <c r="E127" s="28"/>
    </row>
    <row r="128" spans="5:7">
      <c r="E128" s="28"/>
      <c r="G128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19"/>
  <sheetViews>
    <sheetView tabSelected="1" zoomScaleNormal="100" workbookViewId="0">
      <selection activeCell="A60" sqref="A60"/>
    </sheetView>
  </sheetViews>
  <sheetFormatPr defaultColWidth="8.6640625" defaultRowHeight="14.4"/>
  <cols>
    <col min="1" max="1" width="19.88671875" customWidth="1"/>
    <col min="2" max="2" width="11.44140625" bestFit="1" customWidth="1"/>
    <col min="3" max="3" width="8.77734375" customWidth="1"/>
    <col min="4" max="4" width="15.21875" customWidth="1"/>
    <col min="5" max="5" width="8.88671875" customWidth="1"/>
    <col min="6" max="6" width="7.88671875" customWidth="1"/>
    <col min="7" max="7" width="7.21875" customWidth="1"/>
    <col min="8" max="8" width="9" customWidth="1"/>
    <col min="9" max="9" width="10.33203125" style="1" customWidth="1"/>
    <col min="10" max="10" width="23.77734375" style="32" customWidth="1"/>
    <col min="11" max="11" width="8.6640625" style="32"/>
    <col min="12" max="12" width="8.44140625" style="32" customWidth="1"/>
    <col min="13" max="21" width="8.6640625" style="32"/>
  </cols>
  <sheetData>
    <row r="1" spans="1:18">
      <c r="A1" s="2" t="s">
        <v>178</v>
      </c>
      <c r="B1" s="1"/>
      <c r="C1" s="1"/>
      <c r="D1" s="1"/>
      <c r="E1" s="1"/>
      <c r="F1" s="1"/>
      <c r="G1" s="1"/>
      <c r="H1" s="1"/>
      <c r="J1" s="2" t="s">
        <v>179</v>
      </c>
      <c r="K1" s="1"/>
      <c r="L1" s="1"/>
      <c r="M1" s="1"/>
      <c r="N1" s="1"/>
      <c r="O1" s="1"/>
      <c r="P1" s="1"/>
      <c r="Q1" s="1"/>
      <c r="R1" s="1"/>
    </row>
    <row r="2" spans="1:18" ht="14.4" customHeight="1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</row>
    <row r="3" spans="1:18" ht="13.8" customHeight="1">
      <c r="A3" s="2" t="s">
        <v>135</v>
      </c>
      <c r="B3" s="1"/>
      <c r="C3" s="1"/>
      <c r="D3" s="1"/>
      <c r="E3" s="1"/>
      <c r="F3" s="1"/>
      <c r="G3" s="1"/>
      <c r="H3" s="1"/>
      <c r="J3" s="2" t="s">
        <v>135</v>
      </c>
      <c r="K3" s="1"/>
      <c r="L3" s="1"/>
      <c r="M3" s="1"/>
      <c r="N3" s="1"/>
      <c r="O3" s="1"/>
      <c r="P3" s="1"/>
      <c r="Q3" s="1"/>
      <c r="R3" s="1"/>
    </row>
    <row r="4" spans="1:18" ht="13.8" customHeight="1">
      <c r="A4" s="1" t="s">
        <v>3</v>
      </c>
      <c r="B4" s="3">
        <v>25</v>
      </c>
      <c r="C4" s="1" t="s">
        <v>137</v>
      </c>
      <c r="D4" s="1"/>
      <c r="E4" s="1"/>
      <c r="F4" s="1"/>
      <c r="G4" s="1"/>
      <c r="H4" s="1"/>
      <c r="J4" s="1" t="s">
        <v>3</v>
      </c>
      <c r="K4" s="3">
        <v>25</v>
      </c>
      <c r="L4" s="1" t="s">
        <v>137</v>
      </c>
      <c r="M4" s="1"/>
      <c r="N4" s="1"/>
      <c r="O4" s="1"/>
      <c r="P4" s="1"/>
      <c r="Q4" s="1"/>
      <c r="R4" s="1"/>
    </row>
    <row r="5" spans="1:18" ht="13.8" customHeight="1">
      <c r="A5" s="1" t="s">
        <v>7</v>
      </c>
      <c r="B5" s="3">
        <v>7</v>
      </c>
      <c r="C5" s="1" t="s">
        <v>8</v>
      </c>
      <c r="D5" s="1"/>
      <c r="E5" s="1"/>
      <c r="F5" s="1"/>
      <c r="G5" s="1"/>
      <c r="H5" s="1"/>
      <c r="J5" s="1" t="s">
        <v>7</v>
      </c>
      <c r="K5" s="3">
        <v>7</v>
      </c>
      <c r="L5" s="1" t="s">
        <v>8</v>
      </c>
      <c r="M5" s="1"/>
      <c r="N5" s="1"/>
      <c r="O5" s="1"/>
      <c r="P5" s="1"/>
      <c r="Q5" s="1"/>
      <c r="R5" s="1"/>
    </row>
    <row r="6" spans="1:18" ht="13.8" customHeight="1">
      <c r="A6" t="s">
        <v>154</v>
      </c>
      <c r="B6" s="47">
        <f>1.2*B5/1000*B4</f>
        <v>0.21000000000000002</v>
      </c>
      <c r="C6" s="32" t="s">
        <v>54</v>
      </c>
      <c r="D6" s="33"/>
      <c r="E6" s="33"/>
      <c r="F6" s="1"/>
      <c r="G6" s="1"/>
      <c r="H6" s="1"/>
      <c r="J6" t="s">
        <v>154</v>
      </c>
      <c r="K6" s="47">
        <f>1.2*K5/1000*K4</f>
        <v>0.21000000000000002</v>
      </c>
      <c r="L6" s="32" t="s">
        <v>54</v>
      </c>
      <c r="M6" s="33"/>
      <c r="N6" s="33"/>
      <c r="O6" s="1"/>
      <c r="P6" s="1"/>
      <c r="Q6" s="1"/>
      <c r="R6" s="1"/>
    </row>
    <row r="7" spans="1:18" ht="13.8" customHeight="1">
      <c r="A7" s="1" t="s">
        <v>12</v>
      </c>
      <c r="B7" s="34">
        <v>95</v>
      </c>
      <c r="C7" s="32"/>
      <c r="D7" s="33"/>
      <c r="E7" s="33"/>
      <c r="F7" s="1"/>
      <c r="G7" s="1"/>
      <c r="H7" s="1"/>
      <c r="J7" s="1" t="s">
        <v>12</v>
      </c>
      <c r="K7" s="34">
        <v>95</v>
      </c>
      <c r="M7" s="33"/>
      <c r="N7" s="33"/>
      <c r="O7" s="33"/>
      <c r="P7" s="33"/>
      <c r="Q7" s="33"/>
      <c r="R7" s="1"/>
    </row>
    <row r="8" spans="1:18" ht="13.8" customHeight="1">
      <c r="A8" t="s">
        <v>132</v>
      </c>
      <c r="B8" s="32">
        <v>90</v>
      </c>
      <c r="C8" s="33" t="s">
        <v>13</v>
      </c>
      <c r="D8" s="33"/>
      <c r="E8" s="33"/>
      <c r="F8" s="33"/>
      <c r="G8" s="33"/>
      <c r="H8" s="33"/>
      <c r="I8" s="33"/>
      <c r="J8" s="32" t="s">
        <v>132</v>
      </c>
      <c r="K8" s="32">
        <v>90</v>
      </c>
      <c r="L8" s="33" t="s">
        <v>13</v>
      </c>
      <c r="M8" s="33"/>
      <c r="N8" s="33"/>
      <c r="O8" s="33"/>
      <c r="P8" s="33"/>
      <c r="Q8" s="33"/>
      <c r="R8" s="1"/>
    </row>
    <row r="9" spans="1:18" ht="13.8" customHeight="1">
      <c r="A9" s="2"/>
      <c r="B9" s="1"/>
      <c r="C9" s="1"/>
      <c r="D9" s="33"/>
      <c r="E9" s="33"/>
      <c r="F9" s="33"/>
      <c r="G9" s="33"/>
      <c r="H9" s="33"/>
      <c r="I9" s="33"/>
      <c r="L9" s="33"/>
      <c r="M9" s="33"/>
      <c r="N9" s="33"/>
      <c r="O9" s="33"/>
      <c r="P9" s="33"/>
      <c r="Q9" s="33"/>
      <c r="R9" s="1"/>
    </row>
    <row r="10" spans="1:18">
      <c r="A10" s="35" t="s">
        <v>136</v>
      </c>
      <c r="B10" s="1"/>
      <c r="C10" s="1"/>
      <c r="D10" s="32"/>
      <c r="E10" s="32"/>
      <c r="F10" s="32"/>
      <c r="G10" s="32"/>
      <c r="H10" s="32"/>
      <c r="I10" s="33"/>
      <c r="J10" s="35" t="s">
        <v>136</v>
      </c>
      <c r="K10" s="1"/>
      <c r="L10" s="33"/>
      <c r="R10" s="1"/>
    </row>
    <row r="11" spans="1:18">
      <c r="A11" s="1" t="s">
        <v>5</v>
      </c>
      <c r="B11" s="3">
        <v>32</v>
      </c>
      <c r="C11" s="1" t="s">
        <v>6</v>
      </c>
      <c r="D11" s="32"/>
      <c r="E11" s="32"/>
      <c r="F11" s="32"/>
      <c r="G11" s="32"/>
      <c r="H11" s="32"/>
      <c r="I11" s="33"/>
      <c r="J11" s="1" t="s">
        <v>5</v>
      </c>
      <c r="K11" s="3">
        <v>32</v>
      </c>
      <c r="L11" s="33" t="s">
        <v>6</v>
      </c>
      <c r="R11" s="1"/>
    </row>
    <row r="12" spans="1:18">
      <c r="A12" s="1" t="s">
        <v>138</v>
      </c>
      <c r="B12" s="3">
        <v>60</v>
      </c>
      <c r="C12" s="1" t="s">
        <v>11</v>
      </c>
      <c r="D12" s="32"/>
      <c r="E12" s="32"/>
      <c r="F12" s="32"/>
      <c r="G12" s="32"/>
      <c r="H12" s="32"/>
      <c r="I12" s="33"/>
      <c r="J12" s="1" t="s">
        <v>138</v>
      </c>
      <c r="K12" s="3">
        <v>60</v>
      </c>
      <c r="L12" s="33" t="s">
        <v>11</v>
      </c>
      <c r="R12" s="1"/>
    </row>
    <row r="13" spans="1:18">
      <c r="A13" s="1" t="s">
        <v>14</v>
      </c>
      <c r="B13" s="4">
        <f>0.0496965*B11^3+0.979515*B11^2+46.9035*B11+609.484</f>
        <v>4741.874272</v>
      </c>
      <c r="C13" s="1" t="s">
        <v>15</v>
      </c>
      <c r="D13" s="32"/>
      <c r="E13" s="32"/>
      <c r="F13" s="32"/>
      <c r="G13" s="32"/>
      <c r="H13" s="32"/>
      <c r="I13" s="33"/>
      <c r="J13" s="1" t="s">
        <v>14</v>
      </c>
      <c r="K13" s="4">
        <f>0.0496965*K11^3+0.979515*K11^2+46.9035*K11+609.484</f>
        <v>4741.874272</v>
      </c>
      <c r="L13" s="33" t="s">
        <v>15</v>
      </c>
      <c r="R13" s="1"/>
    </row>
    <row r="14" spans="1:18">
      <c r="A14" s="1" t="s">
        <v>17</v>
      </c>
      <c r="B14" s="7">
        <f>0.622*B12/100*B13/(101325-B12/100*B13)</f>
        <v>1.7969838715383976E-2</v>
      </c>
      <c r="C14" s="1" t="s">
        <v>60</v>
      </c>
      <c r="D14" s="32"/>
      <c r="E14" s="32"/>
      <c r="F14" s="32"/>
      <c r="G14" s="32"/>
      <c r="H14" s="32"/>
      <c r="I14" s="33"/>
      <c r="J14" s="1" t="s">
        <v>17</v>
      </c>
      <c r="K14" s="7">
        <f>0.622*K12/100*K13/(101325-K12/100*K13)</f>
        <v>1.7969838715383976E-2</v>
      </c>
      <c r="L14" s="33" t="s">
        <v>60</v>
      </c>
      <c r="R14" s="1"/>
    </row>
    <row r="15" spans="1:18">
      <c r="A15" s="1" t="s">
        <v>22</v>
      </c>
      <c r="B15" s="10">
        <f>1.006*B11+B14*(2501+1.805*B11)</f>
        <v>78.172504511375905</v>
      </c>
      <c r="C15" s="1" t="s">
        <v>23</v>
      </c>
      <c r="D15" s="43"/>
      <c r="E15" s="44"/>
      <c r="F15" s="44"/>
      <c r="G15" s="33"/>
      <c r="H15" s="33"/>
      <c r="J15" s="1" t="s">
        <v>22</v>
      </c>
      <c r="K15" s="10">
        <f>1.006*K11+K14*(2501+1.805*K11)</f>
        <v>78.172504511375905</v>
      </c>
      <c r="L15" s="33" t="s">
        <v>23</v>
      </c>
      <c r="M15" s="43"/>
      <c r="N15" s="44"/>
      <c r="O15" s="44"/>
      <c r="P15" s="33"/>
      <c r="Q15" s="33"/>
      <c r="R15" s="1"/>
    </row>
    <row r="16" spans="1:18" ht="13.2" customHeight="1">
      <c r="A16" s="32"/>
      <c r="B16" s="32"/>
      <c r="C16" s="32"/>
      <c r="D16" s="32"/>
      <c r="E16" s="32"/>
      <c r="F16" s="32"/>
      <c r="G16" s="32"/>
      <c r="H16" s="32"/>
      <c r="R16" s="1"/>
    </row>
    <row r="17" spans="1:18">
      <c r="A17" s="1" t="s">
        <v>139</v>
      </c>
      <c r="B17" s="3">
        <v>10000</v>
      </c>
      <c r="C17" s="1" t="s">
        <v>13</v>
      </c>
      <c r="D17" s="33"/>
      <c r="E17" s="45"/>
      <c r="F17" s="33"/>
      <c r="G17" s="33"/>
      <c r="H17" s="33"/>
      <c r="J17" s="1" t="s">
        <v>139</v>
      </c>
      <c r="K17" s="3">
        <v>10000</v>
      </c>
      <c r="L17" s="1" t="s">
        <v>13</v>
      </c>
      <c r="M17" s="33"/>
      <c r="N17" s="45"/>
      <c r="O17" s="33"/>
      <c r="P17" s="33"/>
      <c r="Q17" s="33"/>
      <c r="R17" s="1"/>
    </row>
    <row r="18" spans="1:18">
      <c r="A18" t="s">
        <v>140</v>
      </c>
      <c r="B18" s="49">
        <f>B4*B8</f>
        <v>2250</v>
      </c>
      <c r="D18" s="32"/>
      <c r="E18" s="32"/>
      <c r="F18" s="32"/>
      <c r="G18" s="32"/>
      <c r="H18" s="32"/>
      <c r="J18" t="s">
        <v>140</v>
      </c>
      <c r="K18" s="49">
        <f>K4*K8</f>
        <v>2250</v>
      </c>
      <c r="L18"/>
      <c r="R18" s="1"/>
    </row>
    <row r="19" spans="1:18">
      <c r="A19" s="1" t="s">
        <v>141</v>
      </c>
      <c r="B19" s="48">
        <f>B7*B4</f>
        <v>2375</v>
      </c>
      <c r="C19" s="1" t="s">
        <v>13</v>
      </c>
      <c r="D19" s="32"/>
      <c r="E19" s="32"/>
      <c r="F19" s="32"/>
      <c r="G19" s="32"/>
      <c r="H19" s="32"/>
      <c r="J19" s="1" t="s">
        <v>141</v>
      </c>
      <c r="K19" s="48">
        <f>K7*K4</f>
        <v>2375</v>
      </c>
      <c r="L19" s="1" t="s">
        <v>13</v>
      </c>
      <c r="R19" s="1"/>
    </row>
    <row r="20" spans="1:18">
      <c r="A20" s="1"/>
      <c r="B20" s="1"/>
      <c r="C20" s="1"/>
      <c r="D20" s="33"/>
      <c r="E20" s="41"/>
      <c r="F20" s="33"/>
      <c r="G20" s="44"/>
      <c r="H20" s="33"/>
      <c r="J20" s="1"/>
      <c r="K20" s="1"/>
      <c r="L20" s="1"/>
      <c r="M20" s="33"/>
      <c r="N20" s="41"/>
      <c r="O20" s="33"/>
      <c r="P20" s="44"/>
      <c r="Q20" s="33"/>
      <c r="R20" s="1"/>
    </row>
    <row r="21" spans="1:18">
      <c r="A21" s="2" t="s">
        <v>32</v>
      </c>
      <c r="B21" s="15"/>
      <c r="C21" s="1"/>
      <c r="D21" s="1"/>
      <c r="E21" s="1"/>
      <c r="F21" s="1"/>
      <c r="G21" s="1"/>
      <c r="H21" s="1"/>
      <c r="J21" s="2" t="s">
        <v>32</v>
      </c>
      <c r="K21" s="15"/>
      <c r="L21" s="1"/>
      <c r="M21" s="1"/>
      <c r="N21" s="1"/>
      <c r="O21" s="1"/>
      <c r="P21" s="1"/>
      <c r="Q21" s="1"/>
      <c r="R21" s="1"/>
    </row>
    <row r="22" spans="1:18" ht="13.2" customHeight="1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 t="s">
        <v>33</v>
      </c>
      <c r="B23" s="1"/>
      <c r="C23" s="1"/>
      <c r="D23" s="1"/>
      <c r="E23" s="9"/>
      <c r="F23" s="1"/>
      <c r="G23" s="1"/>
      <c r="H23" s="1"/>
      <c r="J23" s="1" t="s">
        <v>33</v>
      </c>
      <c r="K23" s="1"/>
      <c r="L23" s="1"/>
      <c r="M23" s="1"/>
      <c r="N23" s="9"/>
      <c r="O23" s="1"/>
      <c r="P23" s="1"/>
      <c r="Q23" s="1"/>
      <c r="R23" s="1"/>
    </row>
    <row r="24" spans="1:18" ht="14.4" customHeight="1">
      <c r="A24" s="1" t="s">
        <v>34</v>
      </c>
      <c r="B24" s="3">
        <v>25</v>
      </c>
      <c r="C24" s="1" t="s">
        <v>6</v>
      </c>
      <c r="D24" s="1"/>
      <c r="E24" s="1"/>
      <c r="F24" s="1"/>
      <c r="G24" s="1"/>
      <c r="H24" s="1"/>
      <c r="J24" s="1" t="s">
        <v>34</v>
      </c>
      <c r="K24" s="3">
        <v>25</v>
      </c>
      <c r="L24" s="1" t="s">
        <v>6</v>
      </c>
      <c r="M24" s="1"/>
      <c r="N24" s="1"/>
      <c r="O24" s="1"/>
      <c r="P24" s="1"/>
      <c r="Q24" s="1"/>
      <c r="R24" s="1"/>
    </row>
    <row r="25" spans="1:18" ht="14.4" customHeight="1">
      <c r="A25" s="1" t="s">
        <v>142</v>
      </c>
      <c r="B25" s="3">
        <v>50</v>
      </c>
      <c r="C25" s="1" t="s">
        <v>11</v>
      </c>
      <c r="D25" s="5" t="s">
        <v>175</v>
      </c>
      <c r="E25" s="1"/>
      <c r="F25" s="1"/>
      <c r="G25" s="1"/>
      <c r="H25" s="1"/>
      <c r="J25" s="1" t="s">
        <v>142</v>
      </c>
      <c r="K25" s="3">
        <v>50</v>
      </c>
      <c r="L25" s="1" t="s">
        <v>11</v>
      </c>
      <c r="M25" s="43" t="s">
        <v>36</v>
      </c>
      <c r="N25" s="33"/>
      <c r="O25" s="33"/>
      <c r="P25" s="33"/>
      <c r="Q25" s="33"/>
      <c r="R25" s="33"/>
    </row>
    <row r="26" spans="1:18" ht="14.4" customHeight="1">
      <c r="A26" s="1" t="s">
        <v>37</v>
      </c>
      <c r="B26" s="4">
        <f>0.0496965*B24^3+0.979515*B24^2+46.9035*B24+609.484</f>
        <v>3170.7761875000001</v>
      </c>
      <c r="C26" s="1" t="s">
        <v>38</v>
      </c>
      <c r="D26" s="5" t="s">
        <v>39</v>
      </c>
      <c r="E26" s="1"/>
      <c r="F26" s="33"/>
      <c r="G26" s="32"/>
      <c r="H26" s="32"/>
      <c r="I26" s="33"/>
      <c r="J26" s="1" t="s">
        <v>37</v>
      </c>
      <c r="K26" s="4">
        <f>0.0496965*K24^3+0.979515*K24^2+46.9035*K24+609.484</f>
        <v>3170.7761875000001</v>
      </c>
      <c r="L26" s="1" t="s">
        <v>38</v>
      </c>
      <c r="M26" s="43" t="s">
        <v>39</v>
      </c>
      <c r="N26" s="33"/>
      <c r="O26" s="33"/>
      <c r="R26" s="33"/>
    </row>
    <row r="27" spans="1:18" ht="14.4" customHeight="1">
      <c r="A27" s="1" t="s">
        <v>173</v>
      </c>
      <c r="B27" s="4">
        <f>B26*B25/100</f>
        <v>1585.3880937500001</v>
      </c>
      <c r="C27" s="1"/>
      <c r="D27" s="5" t="s">
        <v>174</v>
      </c>
      <c r="E27" s="1"/>
      <c r="F27" s="33"/>
      <c r="G27" s="32"/>
      <c r="H27" s="32"/>
      <c r="I27" s="33"/>
      <c r="J27" s="1" t="s">
        <v>173</v>
      </c>
      <c r="K27" s="4">
        <f>K26*K25/100</f>
        <v>1585.3880937500001</v>
      </c>
      <c r="L27" s="1"/>
      <c r="M27" s="43" t="s">
        <v>174</v>
      </c>
      <c r="N27" s="33"/>
      <c r="O27" s="33"/>
      <c r="R27" s="33"/>
    </row>
    <row r="28" spans="1:18" ht="14.4" customHeight="1">
      <c r="A28" s="1" t="s">
        <v>40</v>
      </c>
      <c r="B28" s="16">
        <f>0.622*B25/100*B26/(101325-B25/100*B26)</f>
        <v>9.8868581445794371E-3</v>
      </c>
      <c r="C28" s="1" t="s">
        <v>41</v>
      </c>
      <c r="D28" s="5" t="s">
        <v>42</v>
      </c>
      <c r="E28" s="1"/>
      <c r="F28" s="1"/>
      <c r="G28" s="1"/>
      <c r="H28" s="1"/>
      <c r="J28" s="1" t="s">
        <v>40</v>
      </c>
      <c r="K28" s="16">
        <f>0.622*K25/100*K26/(101325-K25/100*K26)</f>
        <v>9.8868581445794371E-3</v>
      </c>
      <c r="L28" s="1" t="s">
        <v>41</v>
      </c>
      <c r="M28" s="43" t="s">
        <v>42</v>
      </c>
      <c r="N28" s="33"/>
      <c r="O28" s="33"/>
      <c r="P28" s="33"/>
      <c r="Q28" s="33"/>
      <c r="R28" s="33"/>
    </row>
    <row r="29" spans="1:18" ht="14.4" customHeight="1">
      <c r="A29" s="1" t="s">
        <v>43</v>
      </c>
      <c r="B29" s="10">
        <f>1.006*B24+B28*(2501+1.805*B24)</f>
        <v>50.323176693367316</v>
      </c>
      <c r="C29" s="1" t="s">
        <v>23</v>
      </c>
      <c r="D29" s="5" t="s">
        <v>143</v>
      </c>
      <c r="E29" s="1"/>
      <c r="F29" s="1"/>
      <c r="G29" s="1"/>
      <c r="H29" s="1"/>
      <c r="J29" s="1" t="s">
        <v>43</v>
      </c>
      <c r="K29" s="10">
        <f>1.006*K24+K28*(2501+1.805*K24)</f>
        <v>50.323176693367316</v>
      </c>
      <c r="L29" s="1" t="s">
        <v>23</v>
      </c>
      <c r="M29" s="43" t="s">
        <v>143</v>
      </c>
      <c r="N29" s="33"/>
      <c r="O29" s="33"/>
      <c r="P29" s="33"/>
      <c r="Q29" s="33"/>
      <c r="R29" s="33"/>
    </row>
    <row r="30" spans="1:18" ht="14.4" customHeight="1">
      <c r="A30" s="1" t="s">
        <v>172</v>
      </c>
      <c r="B30" s="51">
        <f>237.3*LN(B27/610.5)/(17.269-LN(B27/610.5))</f>
        <v>13.880546474146078</v>
      </c>
      <c r="C30" s="1" t="s">
        <v>6</v>
      </c>
      <c r="D30" s="5" t="s">
        <v>109</v>
      </c>
      <c r="E30" s="15"/>
      <c r="F30" s="1"/>
      <c r="G30" s="1"/>
      <c r="H30" s="1"/>
      <c r="J30" s="1" t="s">
        <v>172</v>
      </c>
      <c r="K30" s="51">
        <f>237.3*LN(K27/610.5)/(17.269-LN(K27/610.5))</f>
        <v>13.880546474146078</v>
      </c>
      <c r="L30" s="1" t="s">
        <v>6</v>
      </c>
      <c r="M30" s="43" t="s">
        <v>109</v>
      </c>
      <c r="N30" s="33"/>
      <c r="O30" s="33"/>
      <c r="P30" s="33"/>
      <c r="Q30" s="33"/>
      <c r="R30" s="33"/>
    </row>
    <row r="31" spans="1:18" ht="14.4" customHeight="1">
      <c r="A31" s="1"/>
      <c r="B31" s="1"/>
      <c r="C31" s="1"/>
      <c r="D31" s="5"/>
      <c r="E31" s="15"/>
      <c r="F31" s="1"/>
      <c r="G31" s="1"/>
      <c r="H31" s="1"/>
      <c r="J31" s="1"/>
      <c r="K31" s="1"/>
      <c r="L31" s="1"/>
      <c r="M31" s="1"/>
      <c r="N31" s="15"/>
      <c r="O31" s="1"/>
      <c r="P31" s="1"/>
      <c r="Q31" s="1"/>
      <c r="R31" s="1"/>
    </row>
    <row r="32" spans="1:18">
      <c r="A32" s="2" t="s">
        <v>155</v>
      </c>
      <c r="B32" s="1"/>
      <c r="C32" s="1"/>
      <c r="D32" s="1"/>
      <c r="E32" s="1"/>
      <c r="F32" s="1"/>
      <c r="G32" s="1"/>
      <c r="H32" s="1"/>
      <c r="J32" s="2" t="s">
        <v>155</v>
      </c>
      <c r="K32" s="1"/>
      <c r="L32" s="1"/>
      <c r="M32" s="1"/>
      <c r="N32" s="1"/>
      <c r="O32" s="1"/>
      <c r="P32" s="1"/>
      <c r="Q32" s="1"/>
      <c r="R32" s="1"/>
    </row>
    <row r="33" spans="1:18">
      <c r="A33" s="1" t="s">
        <v>144</v>
      </c>
      <c r="B33" s="50">
        <f>B17+B18</f>
        <v>12250</v>
      </c>
      <c r="C33" s="1" t="s">
        <v>13</v>
      </c>
      <c r="D33" s="1"/>
      <c r="E33" s="1"/>
      <c r="F33" s="1"/>
      <c r="G33" s="1"/>
      <c r="H33" s="1"/>
      <c r="J33" s="1" t="s">
        <v>144</v>
      </c>
      <c r="K33" s="50">
        <f>K17+K18</f>
        <v>12250</v>
      </c>
      <c r="L33" s="1" t="s">
        <v>13</v>
      </c>
      <c r="M33" s="1"/>
      <c r="N33" s="1"/>
      <c r="O33" s="1"/>
      <c r="P33" s="1"/>
      <c r="Q33" s="1"/>
      <c r="R33" s="1"/>
    </row>
    <row r="34" spans="1:18">
      <c r="A34" s="1" t="s">
        <v>145</v>
      </c>
      <c r="B34" s="50">
        <f>B19</f>
        <v>2375</v>
      </c>
      <c r="C34" s="1" t="s">
        <v>13</v>
      </c>
      <c r="D34" s="1"/>
      <c r="E34" s="1"/>
      <c r="F34" s="1"/>
      <c r="G34" s="1"/>
      <c r="H34" s="1"/>
      <c r="J34" s="1" t="s">
        <v>145</v>
      </c>
      <c r="K34" s="50">
        <f>K19</f>
        <v>2375</v>
      </c>
      <c r="L34" s="1" t="s">
        <v>13</v>
      </c>
      <c r="M34" s="1"/>
      <c r="N34" s="1"/>
      <c r="O34" s="1"/>
      <c r="P34" s="1"/>
      <c r="Q34" s="1"/>
      <c r="R34" s="1"/>
    </row>
    <row r="35" spans="1:18">
      <c r="A35" s="36" t="s">
        <v>156</v>
      </c>
      <c r="B35" s="8">
        <f>B33+B34</f>
        <v>14625</v>
      </c>
      <c r="C35" s="1" t="s">
        <v>13</v>
      </c>
      <c r="D35" s="18"/>
      <c r="E35" s="15"/>
      <c r="F35" s="1"/>
      <c r="G35" s="1"/>
      <c r="H35" s="1"/>
      <c r="J35" s="36" t="s">
        <v>156</v>
      </c>
      <c r="K35" s="8">
        <f>K33+K34</f>
        <v>14625</v>
      </c>
      <c r="L35" s="1" t="s">
        <v>13</v>
      </c>
      <c r="M35" s="18"/>
      <c r="N35" s="15"/>
      <c r="O35" s="1"/>
      <c r="P35" s="1"/>
      <c r="Q35" s="1"/>
      <c r="R35" s="1"/>
    </row>
    <row r="36" spans="1:18">
      <c r="A36" s="17" t="s">
        <v>49</v>
      </c>
      <c r="B36" s="10">
        <f>B33/(B33+B34)</f>
        <v>0.83760683760683763</v>
      </c>
      <c r="C36" s="1"/>
      <c r="D36" s="18"/>
      <c r="E36" s="15"/>
      <c r="F36" s="1"/>
      <c r="G36" s="1"/>
      <c r="H36" s="1"/>
      <c r="J36" s="17" t="s">
        <v>49</v>
      </c>
      <c r="K36" s="10">
        <f>K33/(K33+K34)</f>
        <v>0.83760683760683763</v>
      </c>
      <c r="L36" s="1"/>
      <c r="M36" s="18"/>
      <c r="N36" s="15"/>
      <c r="O36" s="1"/>
      <c r="P36" s="1"/>
      <c r="Q36" s="1"/>
      <c r="R36" s="1"/>
    </row>
    <row r="37" spans="1:18">
      <c r="A37" s="1"/>
      <c r="B37" s="15"/>
      <c r="C37" s="1"/>
      <c r="D37" s="1"/>
      <c r="E37" s="1"/>
      <c r="F37" s="1"/>
      <c r="G37" s="1"/>
      <c r="H37" s="1"/>
      <c r="J37" s="1"/>
      <c r="K37" s="15"/>
      <c r="L37" s="1"/>
      <c r="M37" s="1"/>
      <c r="N37" s="1"/>
      <c r="O37" s="1"/>
      <c r="P37" s="1"/>
      <c r="Q37" s="1"/>
      <c r="R37" s="1"/>
    </row>
    <row r="38" spans="1:18">
      <c r="A38" s="2" t="s">
        <v>163</v>
      </c>
      <c r="B38" s="15"/>
      <c r="C38" s="1"/>
      <c r="D38" s="1"/>
      <c r="E38" s="1"/>
      <c r="F38" s="1"/>
      <c r="G38" s="1"/>
      <c r="H38" s="1"/>
      <c r="J38" s="2" t="s">
        <v>169</v>
      </c>
      <c r="K38" s="15"/>
      <c r="L38" s="1"/>
      <c r="M38" s="1"/>
      <c r="N38" s="1"/>
      <c r="O38" s="1"/>
      <c r="P38" s="1"/>
      <c r="Q38" s="1"/>
      <c r="R38" s="1"/>
    </row>
    <row r="39" spans="1:18">
      <c r="A39" s="46" t="s">
        <v>159</v>
      </c>
      <c r="B39" s="15"/>
      <c r="C39" s="1"/>
      <c r="D39" s="1"/>
      <c r="E39" s="1"/>
      <c r="F39" s="1"/>
      <c r="G39" s="1"/>
      <c r="H39" s="1"/>
      <c r="J39" s="46" t="s">
        <v>159</v>
      </c>
      <c r="K39" s="15"/>
      <c r="L39" s="1"/>
      <c r="M39" s="1"/>
      <c r="N39" s="1"/>
      <c r="O39" s="1"/>
      <c r="P39" s="1"/>
      <c r="Q39" s="1"/>
      <c r="R39" s="1"/>
    </row>
    <row r="40" spans="1:18">
      <c r="A40" s="1" t="s">
        <v>162</v>
      </c>
      <c r="B40" s="8">
        <f>B34/1000/(2501+1.9*$B$24)</f>
        <v>9.3192073768883659E-4</v>
      </c>
      <c r="C40" s="1" t="s">
        <v>20</v>
      </c>
      <c r="D40" s="42" t="s">
        <v>161</v>
      </c>
      <c r="E40" s="32"/>
      <c r="F40" s="33"/>
      <c r="G40" s="33"/>
      <c r="H40" s="1"/>
      <c r="J40" s="1" t="s">
        <v>162</v>
      </c>
      <c r="K40" s="8">
        <f>K34/1000/(2501+1.9*$B$24)</f>
        <v>9.3192073768883659E-4</v>
      </c>
      <c r="L40" s="1" t="s">
        <v>20</v>
      </c>
      <c r="M40" s="42" t="s">
        <v>161</v>
      </c>
      <c r="O40" s="33"/>
      <c r="P40" s="33"/>
      <c r="Q40" s="1"/>
      <c r="R40" s="1"/>
    </row>
    <row r="41" spans="1:18">
      <c r="A41" s="12" t="s">
        <v>25</v>
      </c>
      <c r="B41" s="8">
        <f>B40/B44</f>
        <v>4.4377177985182687E-3</v>
      </c>
      <c r="D41" s="6" t="s">
        <v>26</v>
      </c>
      <c r="E41" s="32"/>
      <c r="F41" s="33"/>
      <c r="G41" s="33"/>
      <c r="H41" s="1"/>
      <c r="J41" s="12" t="s">
        <v>25</v>
      </c>
      <c r="K41" s="8">
        <f>K40/K44</f>
        <v>4.4377177985182687E-3</v>
      </c>
      <c r="L41"/>
      <c r="M41" s="6" t="s">
        <v>26</v>
      </c>
      <c r="O41" s="33"/>
      <c r="P41" s="33"/>
      <c r="Q41" s="1"/>
      <c r="R41" s="1"/>
    </row>
    <row r="42" spans="1:18">
      <c r="A42" s="1" t="s">
        <v>28</v>
      </c>
      <c r="B42" s="13">
        <f>B28-B41</f>
        <v>5.4491403460611683E-3</v>
      </c>
      <c r="C42" s="1"/>
      <c r="D42" s="6" t="s">
        <v>29</v>
      </c>
      <c r="E42" s="1"/>
      <c r="F42" s="1"/>
      <c r="G42" s="1"/>
      <c r="H42" s="1"/>
      <c r="J42" s="1" t="s">
        <v>28</v>
      </c>
      <c r="K42" s="13">
        <f>K28-K41</f>
        <v>5.4491403460611683E-3</v>
      </c>
      <c r="L42" s="1"/>
      <c r="M42" s="6" t="s">
        <v>171</v>
      </c>
      <c r="N42" s="1"/>
      <c r="O42" s="1"/>
      <c r="P42" s="1"/>
      <c r="Q42" s="1"/>
      <c r="R42" s="1"/>
    </row>
    <row r="43" spans="1:18">
      <c r="A43" s="1" t="s">
        <v>157</v>
      </c>
      <c r="B43" s="19">
        <f>25</f>
        <v>25</v>
      </c>
      <c r="C43" s="1" t="s">
        <v>6</v>
      </c>
      <c r="D43" s="1"/>
      <c r="E43" s="1"/>
      <c r="F43" s="1"/>
      <c r="G43" s="1"/>
      <c r="H43" s="1"/>
      <c r="J43" s="1" t="s">
        <v>170</v>
      </c>
      <c r="K43" s="19">
        <f>15</f>
        <v>15</v>
      </c>
      <c r="L43" s="1" t="s">
        <v>6</v>
      </c>
      <c r="M43" s="1"/>
      <c r="N43" s="1"/>
      <c r="O43" s="1"/>
      <c r="P43" s="1"/>
      <c r="Q43" s="1"/>
      <c r="R43" s="1"/>
    </row>
    <row r="44" spans="1:18">
      <c r="A44" s="1" t="s">
        <v>160</v>
      </c>
      <c r="B44" s="39">
        <f>B6</f>
        <v>0.21000000000000002</v>
      </c>
      <c r="C44" s="1" t="s">
        <v>54</v>
      </c>
      <c r="D44" s="5" t="s">
        <v>55</v>
      </c>
      <c r="E44" s="1"/>
      <c r="F44" s="1"/>
      <c r="G44" s="1"/>
      <c r="H44" s="1"/>
      <c r="J44" s="1" t="s">
        <v>160</v>
      </c>
      <c r="K44" s="39">
        <f>K6</f>
        <v>0.21000000000000002</v>
      </c>
      <c r="L44" s="1" t="s">
        <v>54</v>
      </c>
      <c r="M44" s="5" t="s">
        <v>55</v>
      </c>
      <c r="N44" s="1"/>
      <c r="O44" s="1"/>
      <c r="P44" s="1"/>
      <c r="Q44" s="1"/>
      <c r="R44" s="1"/>
    </row>
    <row r="45" spans="1:18">
      <c r="A45" s="1" t="s">
        <v>28</v>
      </c>
      <c r="B45" s="16">
        <f>B42</f>
        <v>5.4491403460611683E-3</v>
      </c>
      <c r="C45" s="1" t="s">
        <v>60</v>
      </c>
      <c r="D45" s="5" t="s">
        <v>42</v>
      </c>
      <c r="E45" s="1"/>
      <c r="F45" s="1"/>
      <c r="G45" s="1"/>
      <c r="H45" s="1"/>
      <c r="J45" s="1" t="s">
        <v>28</v>
      </c>
      <c r="K45" s="16">
        <f>K42</f>
        <v>5.4491403460611683E-3</v>
      </c>
      <c r="L45" s="1" t="s">
        <v>60</v>
      </c>
      <c r="M45" s="5" t="s">
        <v>42</v>
      </c>
      <c r="N45" s="1"/>
      <c r="O45" s="1"/>
      <c r="P45" s="1"/>
      <c r="Q45" s="1"/>
      <c r="R45" s="1"/>
    </row>
    <row r="46" spans="1:18">
      <c r="A46" s="1" t="s">
        <v>58</v>
      </c>
      <c r="B46" s="10">
        <f>(1.006+1.9*B45)*B43+2501*B45</f>
        <v>39.037134171936884</v>
      </c>
      <c r="C46" s="1" t="s">
        <v>61</v>
      </c>
      <c r="D46" s="5" t="s">
        <v>62</v>
      </c>
      <c r="E46" s="1"/>
      <c r="F46" s="1"/>
      <c r="G46" s="1"/>
      <c r="H46" s="1"/>
      <c r="J46" s="1" t="s">
        <v>58</v>
      </c>
      <c r="K46" s="10">
        <f>(1.006+1.9*K45)*K43+2501*K45</f>
        <v>28.873600505361726</v>
      </c>
      <c r="L46" s="1" t="s">
        <v>61</v>
      </c>
      <c r="M46" s="5" t="s">
        <v>62</v>
      </c>
      <c r="N46" s="1"/>
      <c r="O46" s="1"/>
      <c r="P46" s="1"/>
      <c r="Q46" s="1"/>
      <c r="R46" s="1"/>
    </row>
    <row r="47" spans="1:18">
      <c r="A47" s="1" t="s">
        <v>63</v>
      </c>
      <c r="B47" s="4">
        <f>0.0496965*$B$43^3+0.979515*$B$43^2+46.9035*$B$43+609.484</f>
        <v>3170.7761875000001</v>
      </c>
      <c r="C47" s="1" t="s">
        <v>15</v>
      </c>
      <c r="D47" s="5" t="s">
        <v>39</v>
      </c>
      <c r="E47" s="1"/>
      <c r="F47" s="1"/>
      <c r="G47" s="1"/>
      <c r="H47" s="1"/>
      <c r="J47" s="1" t="s">
        <v>63</v>
      </c>
      <c r="K47" s="4">
        <f>0.0496965*$B$43^3+0.979515*$B$43^2+46.9035*$B$43+609.484</f>
        <v>3170.7761875000001</v>
      </c>
      <c r="L47" s="1" t="s">
        <v>15</v>
      </c>
      <c r="M47" s="5" t="s">
        <v>39</v>
      </c>
      <c r="N47" s="1"/>
      <c r="O47" s="1"/>
      <c r="P47" s="1"/>
      <c r="Q47" s="1"/>
      <c r="R47" s="1"/>
    </row>
    <row r="48" spans="1:18">
      <c r="A48" s="1" t="s">
        <v>64</v>
      </c>
      <c r="B48" s="4">
        <f>101325*B45/(0.622+B45)</f>
        <v>879.96637505969909</v>
      </c>
      <c r="C48" s="1" t="s">
        <v>65</v>
      </c>
      <c r="D48" s="5" t="s">
        <v>101</v>
      </c>
      <c r="E48" s="1"/>
      <c r="F48" s="1"/>
      <c r="G48" s="1"/>
      <c r="H48" s="1"/>
      <c r="J48" s="1" t="s">
        <v>64</v>
      </c>
      <c r="K48" s="4">
        <f>101325*K45/(0.622+K45)</f>
        <v>879.96637505969909</v>
      </c>
      <c r="L48" s="1" t="s">
        <v>65</v>
      </c>
      <c r="M48" s="5" t="s">
        <v>101</v>
      </c>
      <c r="N48" s="1"/>
      <c r="O48" s="1"/>
      <c r="P48" s="1"/>
      <c r="Q48" s="1"/>
      <c r="R48" s="1"/>
    </row>
    <row r="49" spans="1:18">
      <c r="A49" s="1" t="s">
        <v>146</v>
      </c>
      <c r="B49" s="21">
        <f>B48/B47*100</f>
        <v>27.752396354203384</v>
      </c>
      <c r="C49" s="1" t="s">
        <v>11</v>
      </c>
      <c r="D49" s="1"/>
      <c r="E49" s="1"/>
      <c r="F49" s="1"/>
      <c r="G49" s="1"/>
      <c r="H49" s="1"/>
      <c r="J49" s="1" t="s">
        <v>146</v>
      </c>
      <c r="K49" s="21">
        <f>K48/K47*100</f>
        <v>27.752396354203384</v>
      </c>
      <c r="L49" s="1" t="s">
        <v>11</v>
      </c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2" t="s">
        <v>147</v>
      </c>
      <c r="B51" s="1"/>
      <c r="C51" s="1"/>
      <c r="D51" s="1"/>
      <c r="E51" s="1"/>
      <c r="F51" s="1"/>
      <c r="G51" s="1"/>
      <c r="H51" s="1"/>
      <c r="J51" s="2" t="s">
        <v>147</v>
      </c>
      <c r="K51" s="1"/>
      <c r="L51" s="1"/>
      <c r="M51" s="1"/>
      <c r="N51" s="1"/>
      <c r="O51" s="1"/>
      <c r="P51" s="1"/>
      <c r="Q51" s="1"/>
      <c r="R51" s="1"/>
    </row>
    <row r="52" spans="1:18">
      <c r="A52" s="31" t="s">
        <v>148</v>
      </c>
      <c r="B52" s="25">
        <f>B45</f>
        <v>5.4491403460611683E-3</v>
      </c>
      <c r="C52" s="1" t="s">
        <v>60</v>
      </c>
      <c r="D52" s="5" t="s">
        <v>104</v>
      </c>
      <c r="E52" s="1"/>
      <c r="F52" s="1"/>
      <c r="G52" s="1"/>
      <c r="H52" s="1"/>
      <c r="J52" s="31" t="s">
        <v>148</v>
      </c>
      <c r="K52" s="25">
        <f>K45</f>
        <v>5.4491403460611683E-3</v>
      </c>
      <c r="L52" s="1" t="s">
        <v>60</v>
      </c>
      <c r="M52" s="5" t="s">
        <v>104</v>
      </c>
      <c r="N52" s="1"/>
      <c r="O52" s="1"/>
      <c r="P52" s="1"/>
      <c r="Q52" s="1"/>
      <c r="R52" s="1"/>
    </row>
    <row r="53" spans="1:18">
      <c r="A53" s="1" t="s">
        <v>149</v>
      </c>
      <c r="B53" s="1">
        <v>100</v>
      </c>
      <c r="C53" s="1" t="s">
        <v>11</v>
      </c>
      <c r="D53" s="5" t="s">
        <v>101</v>
      </c>
      <c r="E53" s="1"/>
      <c r="F53" s="1"/>
      <c r="G53" s="1"/>
      <c r="H53" s="1"/>
      <c r="J53" s="1" t="s">
        <v>149</v>
      </c>
      <c r="K53" s="1">
        <v>100</v>
      </c>
      <c r="L53" s="1" t="s">
        <v>11</v>
      </c>
      <c r="M53" s="5" t="s">
        <v>101</v>
      </c>
      <c r="N53" s="1"/>
      <c r="O53" s="1"/>
      <c r="P53" s="1"/>
      <c r="Q53" s="1"/>
      <c r="R53" s="1"/>
    </row>
    <row r="54" spans="1:18">
      <c r="A54" s="1" t="s">
        <v>92</v>
      </c>
      <c r="B54" s="4">
        <f>101325*B52/(0.622+B52)</f>
        <v>879.96637505969909</v>
      </c>
      <c r="C54" s="1" t="s">
        <v>15</v>
      </c>
      <c r="D54" s="5" t="s">
        <v>68</v>
      </c>
      <c r="E54" s="1"/>
      <c r="F54" s="1"/>
      <c r="G54" s="1"/>
      <c r="H54" s="1"/>
      <c r="J54" s="1" t="s">
        <v>92</v>
      </c>
      <c r="K54" s="4">
        <f>101325*K52/(0.622+K52)</f>
        <v>879.96637505969909</v>
      </c>
      <c r="L54" s="1" t="s">
        <v>15</v>
      </c>
      <c r="M54" s="5" t="s">
        <v>68</v>
      </c>
      <c r="N54" s="1"/>
      <c r="O54" s="1"/>
      <c r="P54" s="1"/>
      <c r="Q54" s="1"/>
      <c r="R54" s="1"/>
    </row>
    <row r="55" spans="1:18">
      <c r="A55" s="32" t="s">
        <v>91</v>
      </c>
      <c r="B55" s="37">
        <f>B54/B53*100</f>
        <v>879.9663750596992</v>
      </c>
      <c r="C55" s="32" t="s">
        <v>15</v>
      </c>
      <c r="D55" s="5" t="s">
        <v>109</v>
      </c>
      <c r="E55" s="1"/>
      <c r="F55" s="1"/>
      <c r="G55" s="1"/>
      <c r="H55" s="1"/>
      <c r="J55" s="32" t="s">
        <v>91</v>
      </c>
      <c r="K55" s="37">
        <f>K54/K53*100</f>
        <v>879.9663750596992</v>
      </c>
      <c r="L55" s="32" t="s">
        <v>15</v>
      </c>
      <c r="M55" s="5" t="s">
        <v>109</v>
      </c>
      <c r="N55" s="1"/>
      <c r="O55" s="1"/>
      <c r="P55" s="1"/>
      <c r="Q55" s="1"/>
      <c r="R55" s="1"/>
    </row>
    <row r="56" spans="1:18">
      <c r="A56" s="32" t="s">
        <v>150</v>
      </c>
      <c r="B56" s="38">
        <f>237.3*LN(B54/610.5)/(17.269-LN(B54/610.5))</f>
        <v>5.1325881107374531</v>
      </c>
      <c r="C56" s="32" t="s">
        <v>6</v>
      </c>
      <c r="D56" s="5" t="s">
        <v>62</v>
      </c>
      <c r="E56" s="1"/>
      <c r="F56" s="1"/>
      <c r="G56" s="1"/>
      <c r="H56" s="1"/>
      <c r="J56" s="32" t="s">
        <v>150</v>
      </c>
      <c r="K56" s="38">
        <f>237.3*LN(K54/610.5)/(17.269-LN(K54/610.5))</f>
        <v>5.1325881107374531</v>
      </c>
      <c r="L56" s="32" t="s">
        <v>6</v>
      </c>
      <c r="M56" s="5" t="s">
        <v>62</v>
      </c>
      <c r="N56" s="1"/>
      <c r="O56" s="1"/>
      <c r="P56" s="1"/>
      <c r="Q56" s="1"/>
      <c r="R56" s="1"/>
    </row>
    <row r="57" spans="1:18">
      <c r="A57" s="1" t="s">
        <v>151</v>
      </c>
      <c r="B57" s="21">
        <f>1.006*B56+B52*(2501+1.805*B56)</f>
        <v>18.842166233182709</v>
      </c>
      <c r="C57" s="1" t="s">
        <v>23</v>
      </c>
      <c r="D57" s="32"/>
      <c r="E57" s="32"/>
      <c r="F57" s="32"/>
      <c r="G57" s="32"/>
      <c r="H57" s="32"/>
      <c r="J57" s="1" t="s">
        <v>151</v>
      </c>
      <c r="K57" s="21">
        <f>1.006*K56+K52*(2501+1.805*K56)</f>
        <v>18.842166233182709</v>
      </c>
      <c r="L57" s="1" t="s">
        <v>23</v>
      </c>
      <c r="R57" s="1"/>
    </row>
    <row r="58" spans="1:18">
      <c r="A58" s="32"/>
      <c r="B58" s="32"/>
      <c r="C58" s="32"/>
      <c r="D58" s="1"/>
      <c r="E58" s="1"/>
      <c r="F58" s="1"/>
      <c r="G58" s="1"/>
      <c r="H58" s="1"/>
      <c r="M58" s="1"/>
      <c r="N58" s="1"/>
      <c r="O58" s="1"/>
      <c r="P58" s="1"/>
      <c r="Q58" s="1"/>
      <c r="R58" s="1"/>
    </row>
    <row r="59" spans="1:18">
      <c r="A59" s="2" t="s">
        <v>182</v>
      </c>
      <c r="B59" s="1"/>
      <c r="C59" s="1"/>
      <c r="D59" s="1"/>
      <c r="E59" s="1"/>
      <c r="F59" s="1"/>
      <c r="G59" s="1"/>
      <c r="H59" s="1"/>
      <c r="J59" s="2" t="s">
        <v>182</v>
      </c>
      <c r="K59" s="1"/>
      <c r="L59" s="1"/>
      <c r="M59" s="1"/>
      <c r="N59" s="1"/>
      <c r="O59" s="1"/>
      <c r="P59" s="1"/>
      <c r="Q59" s="1"/>
      <c r="R59" s="1"/>
    </row>
    <row r="60" spans="1:18">
      <c r="A60" s="1" t="s">
        <v>152</v>
      </c>
      <c r="B60" s="21">
        <f>B44*(B43-B56)</f>
        <v>4.1721564967451359</v>
      </c>
      <c r="C60" s="1" t="s">
        <v>96</v>
      </c>
      <c r="D60" s="1"/>
      <c r="E60" s="1"/>
      <c r="F60" s="1"/>
      <c r="G60" s="1"/>
      <c r="H60" s="1"/>
      <c r="J60" s="1" t="s">
        <v>152</v>
      </c>
      <c r="K60" s="21">
        <f>K44*(K43-K56)</f>
        <v>2.0721564967451349</v>
      </c>
      <c r="L60" s="1" t="s">
        <v>96</v>
      </c>
      <c r="M60" s="1"/>
      <c r="N60" s="1"/>
      <c r="O60" s="1"/>
      <c r="P60" s="1"/>
      <c r="Q60" s="1"/>
      <c r="R60" s="1"/>
    </row>
    <row r="61" spans="1:18">
      <c r="A61" s="1"/>
      <c r="B61" s="40"/>
      <c r="C61" s="1"/>
      <c r="D61" s="1"/>
      <c r="E61" s="1"/>
      <c r="F61" s="1"/>
      <c r="G61" s="15"/>
      <c r="H61" s="1"/>
      <c r="J61" s="1"/>
      <c r="K61" s="40"/>
      <c r="L61" s="1"/>
      <c r="M61" s="1"/>
      <c r="N61" s="1"/>
      <c r="O61" s="1"/>
      <c r="P61" s="15"/>
      <c r="Q61" s="1"/>
      <c r="R61" s="1"/>
    </row>
    <row r="62" spans="1:18">
      <c r="A62" s="2" t="s">
        <v>153</v>
      </c>
      <c r="B62" s="1"/>
      <c r="C62" s="1"/>
      <c r="D62" s="1"/>
      <c r="E62" s="1"/>
      <c r="F62" s="1"/>
      <c r="G62" s="15"/>
      <c r="H62" s="1"/>
      <c r="J62" s="2" t="s">
        <v>153</v>
      </c>
      <c r="K62" s="1"/>
      <c r="L62" s="1"/>
      <c r="M62" s="1"/>
      <c r="N62" s="1"/>
      <c r="O62" s="1"/>
      <c r="P62" s="15"/>
      <c r="Q62" s="1"/>
      <c r="R62" s="1"/>
    </row>
    <row r="63" spans="1:18">
      <c r="A63" s="1" t="s">
        <v>98</v>
      </c>
      <c r="B63" s="8">
        <f>B44*(B14-B52)</f>
        <v>2.6293466575577902E-3</v>
      </c>
      <c r="C63" s="1" t="s">
        <v>54</v>
      </c>
      <c r="D63" s="15">
        <f>B63*3600</f>
        <v>9.465647967208044</v>
      </c>
      <c r="E63" s="1" t="s">
        <v>71</v>
      </c>
      <c r="F63" s="1"/>
      <c r="G63" s="1"/>
      <c r="H63" s="1"/>
      <c r="J63" s="1" t="s">
        <v>98</v>
      </c>
      <c r="K63" s="8">
        <f>K44*(K14-K52)</f>
        <v>2.6293466575577902E-3</v>
      </c>
      <c r="L63" s="1" t="s">
        <v>54</v>
      </c>
      <c r="M63" s="15">
        <f>K63*3600</f>
        <v>9.465647967208044</v>
      </c>
      <c r="N63" s="1" t="s">
        <v>71</v>
      </c>
      <c r="O63" s="1"/>
      <c r="P63" s="1"/>
      <c r="Q63" s="1"/>
      <c r="R63" s="1"/>
    </row>
    <row r="64" spans="1:18">
      <c r="A64" s="1"/>
      <c r="D64" s="15"/>
      <c r="E64" s="1"/>
      <c r="F64" s="1"/>
      <c r="G64" s="1"/>
      <c r="H64" s="1"/>
      <c r="J64" s="1"/>
      <c r="M64" s="15"/>
      <c r="N64" s="1"/>
      <c r="O64" s="1"/>
      <c r="P64" s="1"/>
      <c r="Q64" s="1"/>
      <c r="R64" s="1"/>
    </row>
    <row r="65" spans="1:18">
      <c r="A65" s="35" t="s">
        <v>158</v>
      </c>
      <c r="B65" s="1"/>
      <c r="C65" s="1"/>
      <c r="D65" s="1"/>
      <c r="E65" s="1"/>
      <c r="F65" s="1"/>
      <c r="G65" s="1"/>
      <c r="H65" s="1"/>
      <c r="J65" s="35" t="s">
        <v>158</v>
      </c>
      <c r="K65" s="1"/>
      <c r="L65" s="1"/>
      <c r="M65" s="1"/>
      <c r="N65" s="1"/>
      <c r="O65" s="1"/>
      <c r="P65" s="1"/>
      <c r="Q65" s="1"/>
      <c r="R65" s="1"/>
    </row>
    <row r="66" spans="1:18">
      <c r="A66" s="46" t="s">
        <v>167</v>
      </c>
      <c r="B66" s="1"/>
      <c r="C66" s="1"/>
      <c r="D66" s="1"/>
      <c r="E66" s="1"/>
      <c r="F66" s="1"/>
      <c r="G66" s="1"/>
      <c r="H66" s="1"/>
      <c r="J66" s="46" t="s">
        <v>167</v>
      </c>
      <c r="K66" s="1"/>
      <c r="L66" s="1"/>
      <c r="M66" s="1"/>
      <c r="N66" s="1"/>
      <c r="O66" s="1"/>
      <c r="P66" s="1"/>
      <c r="Q66" s="1"/>
      <c r="R66" s="1"/>
    </row>
    <row r="67" spans="1:18">
      <c r="A67" s="1" t="s">
        <v>144</v>
      </c>
      <c r="B67" s="26">
        <f>B33</f>
        <v>12250</v>
      </c>
      <c r="C67" s="1" t="s">
        <v>13</v>
      </c>
      <c r="D67" s="1"/>
      <c r="E67" s="1"/>
      <c r="F67" s="1"/>
      <c r="G67" s="1"/>
      <c r="H67" s="1"/>
      <c r="J67" s="1" t="s">
        <v>144</v>
      </c>
      <c r="K67" s="26">
        <f>K33</f>
        <v>12250</v>
      </c>
      <c r="L67" s="1" t="s">
        <v>13</v>
      </c>
      <c r="M67" s="1"/>
      <c r="N67" s="1"/>
      <c r="O67" s="1"/>
      <c r="P67" s="1"/>
      <c r="Q67" s="1"/>
      <c r="R67" s="1"/>
    </row>
    <row r="68" spans="1:18">
      <c r="A68" s="1" t="s">
        <v>180</v>
      </c>
      <c r="B68" s="26">
        <f>B67-B44*(B29-B46)*1000</f>
        <v>9879.9310704996096</v>
      </c>
      <c r="C68" s="1" t="s">
        <v>13</v>
      </c>
      <c r="D68" s="46" t="s">
        <v>181</v>
      </c>
      <c r="E68" s="1"/>
      <c r="F68" s="1"/>
      <c r="G68" s="1"/>
      <c r="H68" s="1"/>
      <c r="J68" s="1" t="s">
        <v>180</v>
      </c>
      <c r="K68" s="26">
        <f>K67-K44*(K29-K46)*1000</f>
        <v>7745.5890005188257</v>
      </c>
      <c r="L68" s="1" t="s">
        <v>13</v>
      </c>
      <c r="M68" s="46" t="s">
        <v>168</v>
      </c>
      <c r="N68" s="1"/>
      <c r="O68" s="1"/>
      <c r="P68" s="1"/>
      <c r="Q68" s="1"/>
      <c r="R68" s="1"/>
    </row>
    <row r="69" spans="1:18">
      <c r="A69" s="1" t="s">
        <v>176</v>
      </c>
      <c r="B69" s="1"/>
      <c r="C69" s="1"/>
      <c r="D69" s="1"/>
      <c r="E69" s="9">
        <f>B30</f>
        <v>13.880546474146078</v>
      </c>
      <c r="F69" s="1" t="s">
        <v>6</v>
      </c>
      <c r="G69" s="1"/>
      <c r="H69" s="1"/>
      <c r="J69" s="1" t="s">
        <v>176</v>
      </c>
      <c r="K69" s="1"/>
      <c r="L69" s="1"/>
      <c r="M69" s="1"/>
      <c r="N69" s="9">
        <f>K30</f>
        <v>13.880546474146078</v>
      </c>
      <c r="O69" s="1" t="s">
        <v>6</v>
      </c>
      <c r="P69" s="1"/>
      <c r="Q69" s="1"/>
      <c r="R69" s="1"/>
    </row>
    <row r="70" spans="1:18">
      <c r="A70" s="1" t="s">
        <v>166</v>
      </c>
      <c r="B70" s="1"/>
      <c r="C70" s="1"/>
      <c r="D70" s="1"/>
      <c r="E70" s="1"/>
      <c r="F70" s="1"/>
      <c r="G70" s="1"/>
      <c r="H70" s="1"/>
      <c r="J70" s="1" t="s">
        <v>166</v>
      </c>
      <c r="K70" s="1"/>
      <c r="L70" s="1"/>
      <c r="M70" s="1"/>
      <c r="N70" s="1"/>
      <c r="O70" s="1"/>
      <c r="P70" s="1"/>
      <c r="Q70" s="1"/>
      <c r="R70" s="1"/>
    </row>
    <row r="71" spans="1:18">
      <c r="A71" s="1" t="s">
        <v>177</v>
      </c>
      <c r="B71" s="1">
        <v>10</v>
      </c>
      <c r="C71" s="1" t="s">
        <v>6</v>
      </c>
      <c r="D71" s="1"/>
      <c r="E71" s="1"/>
      <c r="F71" s="1"/>
      <c r="G71" s="1"/>
      <c r="H71" s="1"/>
      <c r="J71" s="1" t="s">
        <v>177</v>
      </c>
      <c r="K71" s="1">
        <v>10</v>
      </c>
      <c r="L71" s="1" t="s">
        <v>6</v>
      </c>
      <c r="M71" s="1"/>
      <c r="N71" s="1"/>
      <c r="O71" s="1"/>
      <c r="P71" s="1"/>
      <c r="Q71" s="1"/>
      <c r="R71" s="1"/>
    </row>
    <row r="72" spans="1:18">
      <c r="A72" s="1" t="s">
        <v>164</v>
      </c>
      <c r="B72" s="15">
        <f>B68/(4186*B71)</f>
        <v>0.2360231980530246</v>
      </c>
      <c r="C72" s="1" t="s">
        <v>54</v>
      </c>
      <c r="D72" s="46" t="s">
        <v>165</v>
      </c>
      <c r="E72" s="1"/>
      <c r="F72" s="1"/>
      <c r="G72" s="1"/>
      <c r="H72" s="1"/>
      <c r="J72" s="1" t="s">
        <v>164</v>
      </c>
      <c r="K72" s="15">
        <f>K68/(4186*K71)</f>
        <v>0.18503557096318266</v>
      </c>
      <c r="L72" s="1" t="s">
        <v>54</v>
      </c>
      <c r="M72" s="46" t="s">
        <v>165</v>
      </c>
      <c r="N72" s="1"/>
      <c r="O72" s="1"/>
      <c r="P72" s="1"/>
      <c r="Q72" s="1"/>
      <c r="R72" s="1"/>
    </row>
    <row r="73" spans="1:18">
      <c r="A73" s="1"/>
      <c r="B73" s="15"/>
      <c r="C73" s="1"/>
      <c r="D73" s="1"/>
      <c r="E73" s="1"/>
      <c r="F73" s="1"/>
      <c r="G73" s="1"/>
      <c r="H73" s="1"/>
    </row>
    <row r="74" spans="1:18">
      <c r="A74" s="1"/>
      <c r="B74" s="15"/>
      <c r="C74" s="1"/>
      <c r="D74" s="1"/>
      <c r="E74" s="1"/>
      <c r="F74" s="1"/>
      <c r="H74" s="1"/>
    </row>
    <row r="75" spans="1:18">
      <c r="A75" s="1"/>
      <c r="B75" s="1"/>
      <c r="C75" s="1"/>
      <c r="D75" s="1"/>
      <c r="E75" s="1"/>
      <c r="F75" s="1"/>
      <c r="G75" s="1"/>
      <c r="H75" s="1"/>
    </row>
    <row r="76" spans="1:18">
      <c r="A76" s="1"/>
      <c r="B76" s="1"/>
      <c r="C76" s="1"/>
      <c r="D76" s="1"/>
      <c r="E76" s="1"/>
      <c r="F76" s="1"/>
      <c r="G76" s="1"/>
      <c r="H76" s="1"/>
    </row>
    <row r="77" spans="1:18">
      <c r="A77" s="1"/>
      <c r="B77" s="26"/>
      <c r="C77" s="1"/>
      <c r="D77" s="1"/>
      <c r="E77" s="1"/>
      <c r="F77" s="1"/>
      <c r="G77" s="1"/>
      <c r="H77" s="1"/>
    </row>
    <row r="78" spans="1:18">
      <c r="A78" s="1"/>
      <c r="B78" s="26"/>
      <c r="C78" s="1"/>
      <c r="D78" s="1"/>
      <c r="E78" s="1"/>
      <c r="F78" s="1"/>
      <c r="G78" s="1"/>
      <c r="H78" s="1"/>
    </row>
    <row r="79" spans="1:18">
      <c r="A79" s="1"/>
      <c r="B79" s="9"/>
      <c r="C79" s="1"/>
      <c r="D79" s="1"/>
      <c r="E79" s="1"/>
      <c r="F79" s="1"/>
      <c r="G79" s="1"/>
      <c r="H79" s="1"/>
    </row>
    <row r="80" spans="1:1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117" spans="5:7">
      <c r="E117" s="27"/>
    </row>
    <row r="118" spans="5:7">
      <c r="E118" s="28"/>
    </row>
    <row r="119" spans="5:7">
      <c r="E119" s="28"/>
      <c r="G119" s="29"/>
    </row>
  </sheetData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LibreOffice/7.2.2.2$Windows_X86_64 LibreOffice_project/02b2acce88a210515b4a5bb2e46cbfb63fe97d56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Inverno 1</vt:lpstr>
      <vt:lpstr>Inverno 2</vt:lpstr>
      <vt:lpstr>Inverno 3</vt:lpstr>
      <vt:lpstr>Inverno dic22</vt:lpstr>
      <vt:lpstr>Inverno Verifica</vt:lpstr>
      <vt:lpstr>Estivo primaria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revision>17</cp:revision>
  <cp:lastPrinted>2022-11-12T07:15:58Z</cp:lastPrinted>
  <dcterms:created xsi:type="dcterms:W3CDTF">2020-11-17T10:40:44Z</dcterms:created>
  <dcterms:modified xsi:type="dcterms:W3CDTF">2023-01-12T20:28:04Z</dcterms:modified>
  <dc:language>it-IT</dc:language>
</cp:coreProperties>
</file>